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7"/>
  <workbookPr filterPrivacy="1" updateLinks="always" codeName="ThisWorkbook"/>
  <xr:revisionPtr revIDLastSave="0" documentId="13_ncr:1_{3FB8F641-A05E-334D-9781-D964C677B132}" xr6:coauthVersionLast="47" xr6:coauthVersionMax="47" xr10:uidLastSave="{00000000-0000-0000-0000-000000000000}"/>
  <workbookProtection workbookAlgorithmName="SHA-512" workbookHashValue="PAmNXXQinI3LImllxWZVPpmylRrp1/w5eamSFymzNWlJjaHLXKktRrG/frY0lC0y+SqcAgN9zi/FW2etjFprjg==" workbookSaltValue="xdVOR3FCZUKfFhpAdx4Ltw==" workbookSpinCount="100000" lockStructure="1"/>
  <bookViews>
    <workbookView xWindow="12080" yWindow="1440" windowWidth="31660" windowHeight="26300" tabRatio="747" xr2:uid="{00000000-000D-0000-FFFF-FFFF00000000}"/>
  </bookViews>
  <sheets>
    <sheet name="Terms of use" sheetId="11" r:id="rId1"/>
    <sheet name="Front" sheetId="1" r:id="rId2"/>
    <sheet name="Resus Sheet" sheetId="5" r:id="rId3"/>
    <sheet name="Admin" sheetId="6" r:id="rId4"/>
    <sheet name="Formulary" sheetId="2" state="veryHidden" r:id="rId5"/>
    <sheet name="Infusions" sheetId="9" state="veryHidden" r:id="rId6"/>
    <sheet name="Inotrope Charts" sheetId="8" state="veryHidden" r:id="rId7"/>
    <sheet name="Calculations" sheetId="10" state="veryHidden" r:id="rId8"/>
    <sheet name="Weight Estimations" sheetId="4" state="veryHidden" r:id="rId9"/>
    <sheet name="Drop List" sheetId="12" state="veryHidden" r:id="rId10"/>
    <sheet name="Backend" sheetId="7" state="veryHidden" r:id="rId11"/>
    <sheet name="Dept Configs" sheetId="13" state="veryHidden" r:id="rId12"/>
  </sheets>
  <definedNames>
    <definedName name="BSATable">Calculations!$B$83:$C$189</definedName>
    <definedName name="ConfigDefault">'Dept Configs'!$E$8:$S$95</definedName>
    <definedName name="ConfigDept">'Dept Configs'!$U$8:$AD$95</definedName>
    <definedName name="ConfigList">'Dept Configs'!$C$11:$C$19</definedName>
    <definedName name="ConfigMatch">'Dept Configs'!$V$8:$AD$8</definedName>
    <definedName name="DoseHigh">Formulary!$W$6:$W$129</definedName>
    <definedName name="DoseLow">Formulary!$U$6:$U$129</definedName>
    <definedName name="DropList">'Drop List'!$B$2:$B$178</definedName>
    <definedName name="DrugAciclovir">Calculations!$C$199:$G$201</definedName>
    <definedName name="DrugName">Formulary!$B$6:$B$229</definedName>
    <definedName name="ETTTable">Calculations!$B$16:$F$34</definedName>
    <definedName name="FluidTable">Calculations!$C$8:$F$11</definedName>
    <definedName name="GlidescopeSize">Calculations!$C$223:$D$227</definedName>
    <definedName name="Headings">Formulary!$B$183:$B$214</definedName>
    <definedName name="InfAdrenalineHigh">Infusions!$D$11:$W$13</definedName>
    <definedName name="InfAdrenalineLow">Infusions!$D$8:$W$10</definedName>
    <definedName name="InfAminophylline">Infusions!$D$56:$W$60</definedName>
    <definedName name="InfAmiodarone">Infusions!$D$36:$W$38</definedName>
    <definedName name="InfClonidine">Infusions!$D$33:$W$34</definedName>
    <definedName name="InfDopamine">Infusions!$D$14:$W$16</definedName>
    <definedName name="InfFrusemide">Infusions!$D$62:$W$63</definedName>
    <definedName name="InfGTNSNP">Infusions!$D$17:$W$19</definedName>
    <definedName name="InfHeparin">Infusions!$D$69:$W$70</definedName>
    <definedName name="InfHeparinFull">Infusions!$D$77:$W$80</definedName>
    <definedName name="InfIsoprenaline">Infusions!$D$72:$W$73</definedName>
    <definedName name="InfMetaraminol">Infusions!$D$51:$W$52</definedName>
    <definedName name="InfMidazolam">Infusions!$D$26:$W$28</definedName>
    <definedName name="InfMilrinone">Infusions!$D$20:$W$22</definedName>
    <definedName name="InfMorphine">Infusions!$D$29:$W$31</definedName>
    <definedName name="InfProstaglandin">Infusions!$D$39:$W$40</definedName>
    <definedName name="InfSalbutamol">Infusions!$D$48:$W$49</definedName>
    <definedName name="InfusionsList">Formulary!$B$133:$B$166</definedName>
    <definedName name="InfVasopressin">Infusions!$D$23:$W$25</definedName>
    <definedName name="InotropeTable">'Inotrope Charts'!$B$10:$J$45</definedName>
    <definedName name="LaryngoscopeSize">Calculations!$C$234:$D$238</definedName>
    <definedName name="LMAAirQ">Calculations!$D$50:$F$55</definedName>
    <definedName name="LMAAirQ3">Calculations!$D$57:$G$64</definedName>
    <definedName name="LMAClassic">Calculations!$D$42:$F$48</definedName>
    <definedName name="LMAIGel">Calculations!$D$66:$F$75</definedName>
    <definedName name="NotesBottom">Formulary!$AD$6:$AD$181</definedName>
    <definedName name="NotesTop">Formulary!$AC$6:$AC$181</definedName>
    <definedName name="NZPEWS">Calculations!$C$210:$G$216</definedName>
    <definedName name="PinHex">Backend!$M$3:$N$12</definedName>
    <definedName name="_xlnm.Print_Area" localSheetId="3">Admin!$C$3:$Y$66</definedName>
    <definedName name="_xlnm.Print_Area" localSheetId="2">'Resus Sheet'!$C$3:$V$56,'Resus Sheet'!$AA$3:$AT$56</definedName>
    <definedName name="Subtext">Formulary!$AB$6:$AB$129</definedName>
    <definedName name="WholeTable">Formulary!$B$6:$AG$229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C15" i="1" l="1"/>
  <c r="C16" i="13"/>
  <c r="V26" i="2"/>
  <c r="S26" i="2"/>
  <c r="R26" i="2"/>
  <c r="W26" i="2" s="1"/>
  <c r="Q26" i="2"/>
  <c r="O26" i="2"/>
  <c r="M26" i="2"/>
  <c r="J26" i="2"/>
  <c r="G26" i="2"/>
  <c r="F26" i="2"/>
  <c r="AC181" i="2" l="1"/>
  <c r="B142" i="12" l="1"/>
  <c r="U5" i="6"/>
  <c r="E8" i="13" s="1"/>
  <c r="J8" i="13" l="1"/>
  <c r="S31" i="2"/>
  <c r="R31" i="2"/>
  <c r="O31" i="2"/>
  <c r="M31" i="2"/>
  <c r="V31" i="2" s="1"/>
  <c r="J31" i="2"/>
  <c r="G31" i="2"/>
  <c r="F31" i="2"/>
  <c r="V29" i="2"/>
  <c r="S29" i="2"/>
  <c r="R29" i="2"/>
  <c r="O29" i="2"/>
  <c r="M29" i="2"/>
  <c r="Q29" i="2" s="1"/>
  <c r="J29" i="2"/>
  <c r="G29" i="2"/>
  <c r="F29" i="2"/>
  <c r="Q31" i="2" l="1"/>
  <c r="W31" i="2"/>
  <c r="W29" i="2"/>
  <c r="S23" i="2"/>
  <c r="R23" i="2"/>
  <c r="O23" i="2"/>
  <c r="M23" i="2"/>
  <c r="V23" i="2" s="1"/>
  <c r="J23" i="2"/>
  <c r="G23" i="2"/>
  <c r="F23" i="2"/>
  <c r="S25" i="2"/>
  <c r="R25" i="2"/>
  <c r="O25" i="2"/>
  <c r="M25" i="2"/>
  <c r="V25" i="2" s="1"/>
  <c r="G25" i="2"/>
  <c r="F25" i="2"/>
  <c r="S73" i="2"/>
  <c r="O73" i="2"/>
  <c r="M73" i="2"/>
  <c r="Q73" i="2" s="1"/>
  <c r="J73" i="2"/>
  <c r="G73" i="2"/>
  <c r="F73" i="2"/>
  <c r="S42" i="2"/>
  <c r="R42" i="2"/>
  <c r="O42" i="2"/>
  <c r="M42" i="2"/>
  <c r="V42" i="2" s="1"/>
  <c r="J42" i="2"/>
  <c r="G42" i="2"/>
  <c r="F42" i="2"/>
  <c r="S41" i="2"/>
  <c r="R41" i="2"/>
  <c r="O41" i="2"/>
  <c r="M41" i="2"/>
  <c r="V41" i="2" s="1"/>
  <c r="J41" i="2"/>
  <c r="G41" i="2"/>
  <c r="F41" i="2"/>
  <c r="S106" i="2"/>
  <c r="O106" i="2"/>
  <c r="M106" i="2"/>
  <c r="Q106" i="2" s="1"/>
  <c r="J106" i="2"/>
  <c r="G106" i="2"/>
  <c r="F106" i="2"/>
  <c r="AA2" i="2"/>
  <c r="M108" i="2"/>
  <c r="Q108" i="2" s="1"/>
  <c r="S129" i="2"/>
  <c r="P129" i="2"/>
  <c r="O129" i="2"/>
  <c r="M129" i="2"/>
  <c r="Q129" i="2" s="1"/>
  <c r="J129" i="2"/>
  <c r="G129" i="2"/>
  <c r="F129" i="2"/>
  <c r="S128" i="2"/>
  <c r="P128" i="2"/>
  <c r="O128" i="2"/>
  <c r="M128" i="2"/>
  <c r="Q128" i="2" s="1"/>
  <c r="J128" i="2"/>
  <c r="G128" i="2"/>
  <c r="F128" i="2"/>
  <c r="S127" i="2"/>
  <c r="P127" i="2"/>
  <c r="O127" i="2"/>
  <c r="M127" i="2"/>
  <c r="Q127" i="2" s="1"/>
  <c r="J127" i="2"/>
  <c r="G127" i="2"/>
  <c r="F127" i="2"/>
  <c r="S126" i="2"/>
  <c r="P126" i="2"/>
  <c r="O126" i="2"/>
  <c r="M126" i="2"/>
  <c r="Q126" i="2" s="1"/>
  <c r="J126" i="2"/>
  <c r="G126" i="2"/>
  <c r="F126" i="2"/>
  <c r="S125" i="2"/>
  <c r="P125" i="2"/>
  <c r="O125" i="2"/>
  <c r="M125" i="2"/>
  <c r="Q125" i="2" s="1"/>
  <c r="J125" i="2"/>
  <c r="G125" i="2"/>
  <c r="F125" i="2"/>
  <c r="S124" i="2"/>
  <c r="P124" i="2"/>
  <c r="O124" i="2"/>
  <c r="M124" i="2"/>
  <c r="Q124" i="2" s="1"/>
  <c r="J124" i="2"/>
  <c r="G124" i="2"/>
  <c r="F124" i="2"/>
  <c r="S123" i="2"/>
  <c r="P123" i="2"/>
  <c r="O123" i="2"/>
  <c r="M123" i="2"/>
  <c r="Q123" i="2" s="1"/>
  <c r="J123" i="2"/>
  <c r="G123" i="2"/>
  <c r="F123" i="2"/>
  <c r="S122" i="2"/>
  <c r="P122" i="2"/>
  <c r="O122" i="2"/>
  <c r="M122" i="2"/>
  <c r="Q122" i="2" s="1"/>
  <c r="J122" i="2"/>
  <c r="G122" i="2"/>
  <c r="F122" i="2"/>
  <c r="S121" i="2"/>
  <c r="P121" i="2"/>
  <c r="O121" i="2"/>
  <c r="M121" i="2"/>
  <c r="Q121" i="2" s="1"/>
  <c r="J121" i="2"/>
  <c r="G121" i="2"/>
  <c r="F121" i="2"/>
  <c r="S120" i="2"/>
  <c r="P120" i="2"/>
  <c r="O120" i="2"/>
  <c r="M120" i="2"/>
  <c r="Q120" i="2" s="1"/>
  <c r="J120" i="2"/>
  <c r="G120" i="2"/>
  <c r="F120" i="2"/>
  <c r="S119" i="2"/>
  <c r="P119" i="2"/>
  <c r="O119" i="2"/>
  <c r="M119" i="2"/>
  <c r="Q119" i="2" s="1"/>
  <c r="J119" i="2"/>
  <c r="G119" i="2"/>
  <c r="F119" i="2"/>
  <c r="S118" i="2"/>
  <c r="P118" i="2"/>
  <c r="O118" i="2"/>
  <c r="M118" i="2"/>
  <c r="Q118" i="2" s="1"/>
  <c r="J118" i="2"/>
  <c r="G118" i="2"/>
  <c r="F118" i="2"/>
  <c r="S117" i="2"/>
  <c r="P117" i="2"/>
  <c r="O117" i="2"/>
  <c r="M117" i="2"/>
  <c r="Q117" i="2" s="1"/>
  <c r="J117" i="2"/>
  <c r="G117" i="2"/>
  <c r="F117" i="2"/>
  <c r="S116" i="2"/>
  <c r="P116" i="2"/>
  <c r="O116" i="2"/>
  <c r="M116" i="2"/>
  <c r="Q116" i="2" s="1"/>
  <c r="J116" i="2"/>
  <c r="G116" i="2"/>
  <c r="F116" i="2"/>
  <c r="S115" i="2"/>
  <c r="P115" i="2"/>
  <c r="O115" i="2"/>
  <c r="M115" i="2"/>
  <c r="Q115" i="2" s="1"/>
  <c r="J115" i="2"/>
  <c r="G115" i="2"/>
  <c r="F115" i="2"/>
  <c r="S114" i="2"/>
  <c r="P114" i="2"/>
  <c r="O114" i="2"/>
  <c r="M114" i="2"/>
  <c r="Q114" i="2" s="1"/>
  <c r="J114" i="2"/>
  <c r="G114" i="2"/>
  <c r="F114" i="2"/>
  <c r="S113" i="2"/>
  <c r="O113" i="2"/>
  <c r="M113" i="2"/>
  <c r="Q113" i="2" s="1"/>
  <c r="J113" i="2"/>
  <c r="G113" i="2"/>
  <c r="F113" i="2"/>
  <c r="S112" i="2"/>
  <c r="O112" i="2"/>
  <c r="M112" i="2"/>
  <c r="Q112" i="2" s="1"/>
  <c r="J112" i="2"/>
  <c r="G112" i="2"/>
  <c r="F112" i="2"/>
  <c r="S111" i="2"/>
  <c r="O111" i="2"/>
  <c r="M111" i="2"/>
  <c r="Q111" i="2" s="1"/>
  <c r="J111" i="2"/>
  <c r="G111" i="2"/>
  <c r="F111" i="2"/>
  <c r="S110" i="2"/>
  <c r="O110" i="2"/>
  <c r="J110" i="2"/>
  <c r="G110" i="2"/>
  <c r="F110" i="2"/>
  <c r="S108" i="2"/>
  <c r="O108" i="2"/>
  <c r="J108" i="2"/>
  <c r="G108" i="2"/>
  <c r="F108" i="2"/>
  <c r="S107" i="2"/>
  <c r="O107" i="2"/>
  <c r="M107" i="2"/>
  <c r="Q107" i="2" s="1"/>
  <c r="J107" i="2"/>
  <c r="G107" i="2"/>
  <c r="F107" i="2"/>
  <c r="S105" i="2"/>
  <c r="P105" i="2"/>
  <c r="O105" i="2"/>
  <c r="M105" i="2"/>
  <c r="Q105" i="2" s="1"/>
  <c r="J105" i="2"/>
  <c r="G105" i="2"/>
  <c r="F105" i="2"/>
  <c r="S43" i="2"/>
  <c r="O43" i="2"/>
  <c r="M43" i="2"/>
  <c r="Q43" i="2" s="1"/>
  <c r="J43" i="2"/>
  <c r="G43" i="2"/>
  <c r="F43" i="2"/>
  <c r="S40" i="2"/>
  <c r="R40" i="2"/>
  <c r="O40" i="2"/>
  <c r="M40" i="2"/>
  <c r="Q40" i="2" s="1"/>
  <c r="J40" i="2"/>
  <c r="G40" i="2"/>
  <c r="F40" i="2"/>
  <c r="F104" i="2"/>
  <c r="G104" i="2"/>
  <c r="J104" i="2"/>
  <c r="M104" i="2"/>
  <c r="V104" i="2" s="1"/>
  <c r="O104" i="2"/>
  <c r="P104" i="2"/>
  <c r="R104" i="2"/>
  <c r="S104" i="2"/>
  <c r="AA3" i="5"/>
  <c r="AN9" i="5"/>
  <c r="AH9" i="5"/>
  <c r="B8" i="13"/>
  <c r="F2" i="13"/>
  <c r="F3" i="13" s="1"/>
  <c r="S20" i="2"/>
  <c r="R20" i="2"/>
  <c r="O20" i="2"/>
  <c r="M20" i="2"/>
  <c r="V20" i="2" s="1"/>
  <c r="J20" i="2"/>
  <c r="G20" i="2"/>
  <c r="F20" i="2"/>
  <c r="C6" i="7"/>
  <c r="C4" i="7" s="1"/>
  <c r="C10" i="7"/>
  <c r="C3" i="4"/>
  <c r="N139" i="2"/>
  <c r="L139" i="2"/>
  <c r="G139" i="2"/>
  <c r="E139" i="2"/>
  <c r="D139" i="2"/>
  <c r="C139" i="2"/>
  <c r="H84" i="9"/>
  <c r="F139" i="2" s="1"/>
  <c r="U70" i="9"/>
  <c r="T80" i="9"/>
  <c r="W82" i="9"/>
  <c r="U82" i="9"/>
  <c r="U63" i="9"/>
  <c r="W77" i="9"/>
  <c r="W78" i="9"/>
  <c r="W79" i="9"/>
  <c r="M79" i="9"/>
  <c r="K79" i="9"/>
  <c r="O79" i="9" s="1"/>
  <c r="M78" i="9"/>
  <c r="K78" i="9"/>
  <c r="O78" i="9" s="1"/>
  <c r="M77" i="9"/>
  <c r="K77" i="9"/>
  <c r="O77" i="9" s="1"/>
  <c r="V102" i="9"/>
  <c r="S35" i="2"/>
  <c r="O35" i="2"/>
  <c r="M35" i="2"/>
  <c r="V35" i="2" s="1"/>
  <c r="J35" i="2"/>
  <c r="G35" i="2"/>
  <c r="F35" i="2"/>
  <c r="S38" i="2"/>
  <c r="R38" i="2"/>
  <c r="O38" i="2"/>
  <c r="M38" i="2"/>
  <c r="V38" i="2" s="1"/>
  <c r="J38" i="2"/>
  <c r="G38" i="2"/>
  <c r="F38" i="2"/>
  <c r="AD153" i="2"/>
  <c r="B144" i="12"/>
  <c r="AA194" i="2"/>
  <c r="W62" i="9"/>
  <c r="W52" i="9"/>
  <c r="U52" i="9"/>
  <c r="H52" i="9"/>
  <c r="V52" i="9" s="1"/>
  <c r="O52" i="9"/>
  <c r="M52" i="9"/>
  <c r="B163" i="12"/>
  <c r="B133" i="12"/>
  <c r="B136" i="12"/>
  <c r="B138" i="12"/>
  <c r="B139" i="12"/>
  <c r="B140" i="12"/>
  <c r="B143" i="12"/>
  <c r="B147" i="12"/>
  <c r="B148" i="12"/>
  <c r="B149" i="12"/>
  <c r="B150" i="12"/>
  <c r="B151" i="12"/>
  <c r="B152" i="12"/>
  <c r="B153" i="12"/>
  <c r="B154" i="12"/>
  <c r="B135" i="12"/>
  <c r="U75" i="9"/>
  <c r="AB155" i="2" s="1"/>
  <c r="I75" i="9"/>
  <c r="W23" i="2" l="1"/>
  <c r="Q23" i="2"/>
  <c r="Q25" i="2"/>
  <c r="W25" i="2"/>
  <c r="W41" i="2"/>
  <c r="Q41" i="2"/>
  <c r="W42" i="2"/>
  <c r="Q42" i="2"/>
  <c r="Q104" i="2"/>
  <c r="U114" i="2"/>
  <c r="AA114" i="2" s="1"/>
  <c r="U121" i="2"/>
  <c r="AA121" i="2" s="1"/>
  <c r="U126" i="2"/>
  <c r="AE126" i="2" s="1"/>
  <c r="U116" i="2"/>
  <c r="AE116" i="2" s="1"/>
  <c r="U128" i="2"/>
  <c r="AE128" i="2" s="1"/>
  <c r="U123" i="2"/>
  <c r="X123" i="2" s="1"/>
  <c r="W40" i="2"/>
  <c r="V43" i="2"/>
  <c r="U119" i="2"/>
  <c r="AE119" i="2" s="1"/>
  <c r="U118" i="2"/>
  <c r="AE118" i="2" s="1"/>
  <c r="U122" i="2"/>
  <c r="AA122" i="2" s="1"/>
  <c r="U117" i="2"/>
  <c r="AA117" i="2" s="1"/>
  <c r="U129" i="2"/>
  <c r="AE129" i="2" s="1"/>
  <c r="U105" i="2"/>
  <c r="AE105" i="2" s="1"/>
  <c r="U125" i="2"/>
  <c r="AE125" i="2" s="1"/>
  <c r="U120" i="2"/>
  <c r="AA120" i="2" s="1"/>
  <c r="U115" i="2"/>
  <c r="AE115" i="2" s="1"/>
  <c r="U127" i="2"/>
  <c r="AE127" i="2" s="1"/>
  <c r="U124" i="2"/>
  <c r="X124" i="2" s="1"/>
  <c r="V40" i="2"/>
  <c r="U104" i="2"/>
  <c r="X104" i="2" s="1"/>
  <c r="W104" i="2"/>
  <c r="Q20" i="2"/>
  <c r="W20" i="2"/>
  <c r="C12" i="7"/>
  <c r="H17" i="7"/>
  <c r="I17" i="7" s="1"/>
  <c r="C8" i="7"/>
  <c r="Q35" i="2"/>
  <c r="W38" i="2"/>
  <c r="Q38" i="2"/>
  <c r="P52" i="9"/>
  <c r="N52" i="9"/>
  <c r="N155" i="2"/>
  <c r="L155" i="2"/>
  <c r="G155" i="2"/>
  <c r="E155" i="2"/>
  <c r="D155" i="2"/>
  <c r="C155" i="2"/>
  <c r="X121" i="2" l="1"/>
  <c r="AA126" i="2"/>
  <c r="AE121" i="2"/>
  <c r="AA128" i="2"/>
  <c r="AE114" i="2"/>
  <c r="X128" i="2"/>
  <c r="X126" i="2"/>
  <c r="X114" i="2"/>
  <c r="AA116" i="2"/>
  <c r="X116" i="2"/>
  <c r="AE123" i="2"/>
  <c r="AA123" i="2"/>
  <c r="AA118" i="2"/>
  <c r="X118" i="2"/>
  <c r="AA119" i="2"/>
  <c r="X119" i="2"/>
  <c r="X122" i="2"/>
  <c r="AE122" i="2"/>
  <c r="AE117" i="2"/>
  <c r="AE120" i="2"/>
  <c r="X129" i="2"/>
  <c r="AA129" i="2"/>
  <c r="X120" i="2"/>
  <c r="X117" i="2"/>
  <c r="AA125" i="2"/>
  <c r="X125" i="2"/>
  <c r="AA127" i="2"/>
  <c r="X115" i="2"/>
  <c r="X105" i="2"/>
  <c r="AA124" i="2"/>
  <c r="AE124" i="2"/>
  <c r="AA105" i="2"/>
  <c r="X127" i="2"/>
  <c r="AA115" i="2"/>
  <c r="AE104" i="2"/>
  <c r="D17" i="7"/>
  <c r="Q52" i="9"/>
  <c r="T52" i="9" s="1"/>
  <c r="W75" i="9"/>
  <c r="AD155" i="2" s="1"/>
  <c r="U65" i="9" l="1"/>
  <c r="AB158" i="2" s="1"/>
  <c r="U45" i="9"/>
  <c r="R81" i="2"/>
  <c r="M81" i="2"/>
  <c r="V81" i="2" s="1"/>
  <c r="G81" i="2"/>
  <c r="J81" i="2"/>
  <c r="O81" i="2"/>
  <c r="S81" i="2"/>
  <c r="R67" i="2"/>
  <c r="M14" i="2"/>
  <c r="Q14" i="2" s="1"/>
  <c r="F14" i="2"/>
  <c r="G14" i="2"/>
  <c r="J14" i="2"/>
  <c r="O14" i="2"/>
  <c r="S14" i="2"/>
  <c r="R80" i="2"/>
  <c r="M80" i="2"/>
  <c r="Q80" i="2" s="1"/>
  <c r="G80" i="2"/>
  <c r="J80" i="2"/>
  <c r="O80" i="2"/>
  <c r="S80" i="2"/>
  <c r="M74" i="2"/>
  <c r="W67" i="9"/>
  <c r="AD159" i="2" s="1"/>
  <c r="I67" i="9"/>
  <c r="G159" i="2" s="1"/>
  <c r="I49" i="9"/>
  <c r="I48" i="9"/>
  <c r="I38" i="9"/>
  <c r="I37" i="9"/>
  <c r="I36" i="9"/>
  <c r="N158" i="2"/>
  <c r="L158" i="2"/>
  <c r="G158" i="2"/>
  <c r="E158" i="2"/>
  <c r="D158" i="2"/>
  <c r="C158" i="2"/>
  <c r="W65" i="9"/>
  <c r="AD158" i="2" s="1"/>
  <c r="K65" i="9"/>
  <c r="M158" i="2" s="1"/>
  <c r="N159" i="2"/>
  <c r="L159" i="2"/>
  <c r="E159" i="2"/>
  <c r="D159" i="2"/>
  <c r="C159" i="2"/>
  <c r="W60" i="9"/>
  <c r="W59" i="9"/>
  <c r="W58" i="9"/>
  <c r="W57" i="9"/>
  <c r="W70" i="9"/>
  <c r="W69" i="9"/>
  <c r="U67" i="9"/>
  <c r="AB159" i="2" s="1"/>
  <c r="H70" i="9"/>
  <c r="M15" i="2"/>
  <c r="Q15" i="2" s="1"/>
  <c r="F15" i="2"/>
  <c r="G15" i="2"/>
  <c r="J15" i="2"/>
  <c r="O15" i="2"/>
  <c r="S15" i="2"/>
  <c r="Q81" i="2" l="1"/>
  <c r="V14" i="2"/>
  <c r="V80" i="2"/>
  <c r="V15" i="2"/>
  <c r="G17" i="7"/>
  <c r="AA202" i="2" l="1"/>
  <c r="AA191" i="2"/>
  <c r="F11" i="4"/>
  <c r="F10" i="4"/>
  <c r="E11" i="4"/>
  <c r="E10" i="4"/>
  <c r="E5" i="4"/>
  <c r="E4" i="4"/>
  <c r="E3" i="4"/>
  <c r="C5" i="4"/>
  <c r="D12" i="4"/>
  <c r="C2" i="4"/>
  <c r="C35" i="4" s="1"/>
  <c r="C34" i="10"/>
  <c r="C33" i="10"/>
  <c r="C32" i="10"/>
  <c r="C31" i="10"/>
  <c r="C30" i="10"/>
  <c r="C29" i="10"/>
  <c r="C28" i="10"/>
  <c r="C27" i="10"/>
  <c r="C26" i="10"/>
  <c r="C25" i="10"/>
  <c r="C24" i="10"/>
  <c r="C23" i="10"/>
  <c r="C22" i="10"/>
  <c r="C21" i="10"/>
  <c r="C20" i="10"/>
  <c r="C19" i="10"/>
  <c r="C17" i="10"/>
  <c r="C16" i="10"/>
  <c r="F11" i="10"/>
  <c r="Q6" i="5" l="1"/>
  <c r="AO6" i="5" s="1"/>
  <c r="C36" i="4"/>
  <c r="C4" i="4"/>
  <c r="D13" i="4" s="1"/>
  <c r="I2" i="2"/>
  <c r="C20" i="4"/>
  <c r="R73" i="9"/>
  <c r="L73" i="9"/>
  <c r="J73" i="9"/>
  <c r="F73" i="9"/>
  <c r="R72" i="9"/>
  <c r="L72" i="9"/>
  <c r="J72" i="9"/>
  <c r="G72" i="9"/>
  <c r="F72" i="9"/>
  <c r="W18" i="9"/>
  <c r="W42" i="9"/>
  <c r="AD148" i="2" s="1"/>
  <c r="W63" i="9"/>
  <c r="H63" i="9"/>
  <c r="N146" i="2"/>
  <c r="L146" i="2"/>
  <c r="G146" i="2"/>
  <c r="E146" i="2"/>
  <c r="D146" i="2"/>
  <c r="C146" i="2"/>
  <c r="G147" i="2"/>
  <c r="E147" i="2"/>
  <c r="D147" i="2"/>
  <c r="C147" i="2"/>
  <c r="D148" i="2"/>
  <c r="E148" i="2"/>
  <c r="L147" i="2"/>
  <c r="N147" i="2"/>
  <c r="L148" i="2"/>
  <c r="N148" i="2"/>
  <c r="I44" i="9"/>
  <c r="I43" i="9"/>
  <c r="I42" i="9"/>
  <c r="G148" i="2" s="1"/>
  <c r="Q31" i="9"/>
  <c r="T31" i="9" s="1"/>
  <c r="Q28" i="9"/>
  <c r="T28" i="9" s="1"/>
  <c r="Q25" i="9"/>
  <c r="L49" i="8"/>
  <c r="U60" i="9"/>
  <c r="U58" i="9"/>
  <c r="AB2" i="2"/>
  <c r="W49" i="9"/>
  <c r="W48" i="9"/>
  <c r="W54" i="9"/>
  <c r="AD147" i="2" s="1"/>
  <c r="U49" i="9"/>
  <c r="AG131" i="2"/>
  <c r="I2" i="9"/>
  <c r="I3" i="9"/>
  <c r="E3" i="8"/>
  <c r="W36" i="9"/>
  <c r="I40" i="9"/>
  <c r="M40" i="9" s="1"/>
  <c r="I51" i="9"/>
  <c r="I27" i="9"/>
  <c r="M27" i="9" s="1"/>
  <c r="I22" i="9"/>
  <c r="M22" i="9" s="1"/>
  <c r="I21" i="9"/>
  <c r="M21" i="9" s="1"/>
  <c r="I19" i="9"/>
  <c r="M19" i="9" s="1"/>
  <c r="I18" i="9"/>
  <c r="M18" i="9" s="1"/>
  <c r="I16" i="9"/>
  <c r="M16" i="9" s="1"/>
  <c r="I15" i="9"/>
  <c r="M15" i="9" s="1"/>
  <c r="I13" i="9"/>
  <c r="M13" i="9" s="1"/>
  <c r="I12" i="9"/>
  <c r="M12" i="9" s="1"/>
  <c r="I10" i="9"/>
  <c r="I73" i="9" s="1"/>
  <c r="I9" i="9"/>
  <c r="M9" i="9" s="1"/>
  <c r="M72" i="9" s="1"/>
  <c r="W45" i="9"/>
  <c r="AD146" i="2" s="1"/>
  <c r="AB146" i="2"/>
  <c r="W10" i="9"/>
  <c r="W73" i="9" s="1"/>
  <c r="W9" i="9"/>
  <c r="W72" i="9" s="1"/>
  <c r="U54" i="9"/>
  <c r="AB147" i="2" s="1"/>
  <c r="W40" i="9"/>
  <c r="U31" i="9"/>
  <c r="U28" i="9"/>
  <c r="U25" i="9"/>
  <c r="W30" i="9"/>
  <c r="W33" i="9"/>
  <c r="W34" i="9"/>
  <c r="W51" i="9"/>
  <c r="W31" i="9"/>
  <c r="W28" i="9"/>
  <c r="W27" i="9"/>
  <c r="W25" i="9"/>
  <c r="W24" i="9"/>
  <c r="W22" i="9"/>
  <c r="W21" i="9"/>
  <c r="W19" i="9"/>
  <c r="W16" i="9"/>
  <c r="W15" i="9"/>
  <c r="T102" i="9"/>
  <c r="AA195" i="2"/>
  <c r="AA190" i="2"/>
  <c r="W13" i="9"/>
  <c r="W12" i="9"/>
  <c r="V25" i="9"/>
  <c r="V28" i="9"/>
  <c r="V31" i="9"/>
  <c r="I11" i="9"/>
  <c r="I14" i="9"/>
  <c r="I17" i="9"/>
  <c r="I20" i="9"/>
  <c r="I23" i="9"/>
  <c r="M24" i="9"/>
  <c r="I26" i="9"/>
  <c r="I29" i="9"/>
  <c r="I32" i="9"/>
  <c r="I35" i="9"/>
  <c r="M36" i="9"/>
  <c r="M37" i="9"/>
  <c r="M38" i="9"/>
  <c r="I39" i="9"/>
  <c r="I41" i="9"/>
  <c r="I46" i="9"/>
  <c r="I47" i="9"/>
  <c r="I50" i="9"/>
  <c r="I53" i="9"/>
  <c r="I55" i="9"/>
  <c r="I61" i="9"/>
  <c r="I64" i="9"/>
  <c r="I66" i="9"/>
  <c r="I68" i="9"/>
  <c r="I71" i="9"/>
  <c r="I74" i="9"/>
  <c r="I76" i="9"/>
  <c r="I81" i="9"/>
  <c r="I83" i="9"/>
  <c r="I85" i="9"/>
  <c r="I86" i="9"/>
  <c r="I87" i="9"/>
  <c r="I88" i="9"/>
  <c r="I89" i="9"/>
  <c r="I90" i="9"/>
  <c r="I91" i="9"/>
  <c r="I92" i="9"/>
  <c r="I93" i="9"/>
  <c r="I94" i="9"/>
  <c r="I95" i="9"/>
  <c r="I96" i="9"/>
  <c r="I97" i="9"/>
  <c r="I98" i="9"/>
  <c r="I99" i="9"/>
  <c r="I100" i="9"/>
  <c r="I101" i="9"/>
  <c r="I8" i="9"/>
  <c r="P8" i="9"/>
  <c r="N8" i="9"/>
  <c r="Q8" i="9" s="1"/>
  <c r="K9" i="9"/>
  <c r="O9" i="9" s="1"/>
  <c r="O72" i="9" s="1"/>
  <c r="K10" i="9"/>
  <c r="O10" i="9" s="1"/>
  <c r="O73" i="9" s="1"/>
  <c r="K11" i="9"/>
  <c r="O11" i="9" s="1"/>
  <c r="K12" i="9"/>
  <c r="O12" i="9" s="1"/>
  <c r="K13" i="9"/>
  <c r="O13" i="9" s="1"/>
  <c r="K14" i="9"/>
  <c r="O14" i="9" s="1"/>
  <c r="K15" i="9"/>
  <c r="O15" i="9" s="1"/>
  <c r="O16" i="9"/>
  <c r="K17" i="9"/>
  <c r="O17" i="9" s="1"/>
  <c r="K18" i="9"/>
  <c r="O18" i="9" s="1"/>
  <c r="K19" i="9"/>
  <c r="O19" i="9" s="1"/>
  <c r="K20" i="9"/>
  <c r="O20" i="9" s="1"/>
  <c r="K21" i="9"/>
  <c r="O21" i="9" s="1"/>
  <c r="O22" i="9"/>
  <c r="K23" i="9"/>
  <c r="O23" i="9" s="1"/>
  <c r="K24" i="9"/>
  <c r="O24" i="9" s="1"/>
  <c r="K25" i="9"/>
  <c r="O25" i="9" s="1"/>
  <c r="K26" i="9"/>
  <c r="O26" i="9" s="1"/>
  <c r="K27" i="9"/>
  <c r="O27" i="9" s="1"/>
  <c r="K28" i="9"/>
  <c r="O28" i="9" s="1"/>
  <c r="K29" i="9"/>
  <c r="O29" i="9" s="1"/>
  <c r="K30" i="9"/>
  <c r="O30" i="9" s="1"/>
  <c r="K31" i="9"/>
  <c r="K32" i="9"/>
  <c r="O32" i="9" s="1"/>
  <c r="K33" i="9"/>
  <c r="O33" i="9" s="1"/>
  <c r="O34" i="9"/>
  <c r="K35" i="9"/>
  <c r="O35" i="9" s="1"/>
  <c r="K36" i="9"/>
  <c r="O36" i="9" s="1"/>
  <c r="K37" i="9"/>
  <c r="O37" i="9" s="1"/>
  <c r="K38" i="9"/>
  <c r="O38" i="9" s="1"/>
  <c r="K39" i="9"/>
  <c r="O39" i="9" s="1"/>
  <c r="K40" i="9"/>
  <c r="O40" i="9" s="1"/>
  <c r="K41" i="9"/>
  <c r="O41" i="9" s="1"/>
  <c r="K42" i="9"/>
  <c r="O42" i="9" s="1"/>
  <c r="V148" i="2" s="1"/>
  <c r="K43" i="9"/>
  <c r="O43" i="9" s="1"/>
  <c r="K44" i="9"/>
  <c r="O44" i="9" s="1"/>
  <c r="K45" i="9"/>
  <c r="O45" i="9" s="1"/>
  <c r="V146" i="2" s="1"/>
  <c r="K46" i="9"/>
  <c r="O46" i="9" s="1"/>
  <c r="K47" i="9"/>
  <c r="O47" i="9" s="1"/>
  <c r="K48" i="9"/>
  <c r="O48" i="9" s="1"/>
  <c r="K49" i="9"/>
  <c r="O49" i="9" s="1"/>
  <c r="K50" i="9"/>
  <c r="O50" i="9" s="1"/>
  <c r="O51" i="9"/>
  <c r="K53" i="9"/>
  <c r="O53" i="9" s="1"/>
  <c r="K54" i="9"/>
  <c r="O54" i="9" s="1"/>
  <c r="V147" i="2" s="1"/>
  <c r="K55" i="9"/>
  <c r="O55" i="9" s="1"/>
  <c r="K57" i="9"/>
  <c r="O57" i="9" s="1"/>
  <c r="K58" i="9"/>
  <c r="O58" i="9" s="1"/>
  <c r="K59" i="9"/>
  <c r="O59" i="9" s="1"/>
  <c r="K60" i="9"/>
  <c r="O60" i="9" s="1"/>
  <c r="K61" i="9"/>
  <c r="O61" i="9" s="1"/>
  <c r="K62" i="9"/>
  <c r="O62" i="9" s="1"/>
  <c r="K63" i="9"/>
  <c r="O63" i="9" s="1"/>
  <c r="K64" i="9"/>
  <c r="O64" i="9" s="1"/>
  <c r="O65" i="9"/>
  <c r="V158" i="2" s="1"/>
  <c r="K66" i="9"/>
  <c r="O66" i="9" s="1"/>
  <c r="K67" i="9"/>
  <c r="K68" i="9"/>
  <c r="O68" i="9" s="1"/>
  <c r="K69" i="9"/>
  <c r="O69" i="9" s="1"/>
  <c r="K70" i="9"/>
  <c r="O70" i="9" s="1"/>
  <c r="K71" i="9"/>
  <c r="O71" i="9" s="1"/>
  <c r="K74" i="9"/>
  <c r="O74" i="9" s="1"/>
  <c r="K75" i="9"/>
  <c r="K76" i="9"/>
  <c r="O76" i="9" s="1"/>
  <c r="K81" i="9"/>
  <c r="O81" i="9" s="1"/>
  <c r="K82" i="9"/>
  <c r="O82" i="9" s="1"/>
  <c r="K83" i="9"/>
  <c r="O83" i="9" s="1"/>
  <c r="K84" i="9"/>
  <c r="K85" i="9"/>
  <c r="O85" i="9" s="1"/>
  <c r="K86" i="9"/>
  <c r="O86" i="9" s="1"/>
  <c r="K87" i="9"/>
  <c r="O87" i="9" s="1"/>
  <c r="K88" i="9"/>
  <c r="O88" i="9" s="1"/>
  <c r="K89" i="9"/>
  <c r="O89" i="9" s="1"/>
  <c r="K90" i="9"/>
  <c r="O90" i="9" s="1"/>
  <c r="K91" i="9"/>
  <c r="O91" i="9" s="1"/>
  <c r="K92" i="9"/>
  <c r="O92" i="9" s="1"/>
  <c r="K93" i="9"/>
  <c r="O93" i="9" s="1"/>
  <c r="K94" i="9"/>
  <c r="O94" i="9" s="1"/>
  <c r="K95" i="9"/>
  <c r="O95" i="9" s="1"/>
  <c r="K96" i="9"/>
  <c r="O96" i="9" s="1"/>
  <c r="K97" i="9"/>
  <c r="O97" i="9" s="1"/>
  <c r="K98" i="9"/>
  <c r="O98" i="9" s="1"/>
  <c r="K99" i="9"/>
  <c r="O99" i="9" s="1"/>
  <c r="K100" i="9"/>
  <c r="O100" i="9" s="1"/>
  <c r="K101" i="9"/>
  <c r="O101" i="9" s="1"/>
  <c r="K8" i="9"/>
  <c r="O8" i="9" s="1"/>
  <c r="M11" i="9"/>
  <c r="M14" i="9"/>
  <c r="M17" i="9"/>
  <c r="M20" i="9"/>
  <c r="M23" i="9"/>
  <c r="M25" i="9"/>
  <c r="M26" i="9"/>
  <c r="M29" i="9"/>
  <c r="M31" i="9"/>
  <c r="M32" i="9"/>
  <c r="M33" i="9"/>
  <c r="M34" i="9"/>
  <c r="M35" i="9"/>
  <c r="M39" i="9"/>
  <c r="M41" i="9"/>
  <c r="M43" i="9"/>
  <c r="M44" i="9"/>
  <c r="M45" i="9"/>
  <c r="O146" i="2" s="1"/>
  <c r="M46" i="9"/>
  <c r="M47" i="9"/>
  <c r="M48" i="9"/>
  <c r="M49" i="9"/>
  <c r="M50" i="9"/>
  <c r="M53" i="9"/>
  <c r="M54" i="9"/>
  <c r="O147" i="2" s="1"/>
  <c r="M55" i="9"/>
  <c r="M57" i="9"/>
  <c r="M58" i="9"/>
  <c r="M59" i="9"/>
  <c r="M60" i="9"/>
  <c r="M61" i="9"/>
  <c r="M62" i="9"/>
  <c r="M63" i="9"/>
  <c r="M64" i="9"/>
  <c r="M65" i="9"/>
  <c r="O158" i="2" s="1"/>
  <c r="M66" i="9"/>
  <c r="M67" i="9"/>
  <c r="O159" i="2" s="1"/>
  <c r="M68" i="9"/>
  <c r="M69" i="9"/>
  <c r="M70" i="9"/>
  <c r="M71" i="9"/>
  <c r="M74" i="9"/>
  <c r="M75" i="9"/>
  <c r="O155" i="2" s="1"/>
  <c r="M76" i="9"/>
  <c r="M81" i="9"/>
  <c r="M82" i="9"/>
  <c r="M83" i="9"/>
  <c r="M84" i="9"/>
  <c r="O139" i="2" s="1"/>
  <c r="M85" i="9"/>
  <c r="M86" i="9"/>
  <c r="M87" i="9"/>
  <c r="M88" i="9"/>
  <c r="M89" i="9"/>
  <c r="M90" i="9"/>
  <c r="M91" i="9"/>
  <c r="M92" i="9"/>
  <c r="M93" i="9"/>
  <c r="M94" i="9"/>
  <c r="M95" i="9"/>
  <c r="M96" i="9"/>
  <c r="M97" i="9"/>
  <c r="M98" i="9"/>
  <c r="M99" i="9"/>
  <c r="M100" i="9"/>
  <c r="M101" i="9"/>
  <c r="M8" i="9"/>
  <c r="AA186" i="2"/>
  <c r="AA193" i="2"/>
  <c r="AA196" i="2"/>
  <c r="AA189" i="2"/>
  <c r="AA197" i="2"/>
  <c r="AA201" i="2"/>
  <c r="S68" i="2"/>
  <c r="S69" i="2"/>
  <c r="S70" i="2"/>
  <c r="S71" i="2"/>
  <c r="S72" i="2"/>
  <c r="S74" i="2"/>
  <c r="S75" i="2"/>
  <c r="S76" i="2"/>
  <c r="S77" i="2"/>
  <c r="S78" i="2"/>
  <c r="S79" i="2"/>
  <c r="S83" i="2"/>
  <c r="S84" i="2"/>
  <c r="S85" i="2"/>
  <c r="S86" i="2"/>
  <c r="S87" i="2"/>
  <c r="S88" i="2"/>
  <c r="S89" i="2"/>
  <c r="S90" i="2"/>
  <c r="S91" i="2"/>
  <c r="S96" i="2"/>
  <c r="S97" i="2"/>
  <c r="S98" i="2"/>
  <c r="S99" i="2"/>
  <c r="S100" i="2"/>
  <c r="S101" i="2"/>
  <c r="S102" i="2"/>
  <c r="S103" i="2"/>
  <c r="O68" i="2"/>
  <c r="O69" i="2"/>
  <c r="O70" i="2"/>
  <c r="O71" i="2"/>
  <c r="O72" i="2"/>
  <c r="O74" i="2"/>
  <c r="O75" i="2"/>
  <c r="O76" i="2"/>
  <c r="O77" i="2"/>
  <c r="O78" i="2"/>
  <c r="O79" i="2"/>
  <c r="O83" i="2"/>
  <c r="O84" i="2"/>
  <c r="O85" i="2"/>
  <c r="O86" i="2"/>
  <c r="O87" i="2"/>
  <c r="O88" i="2"/>
  <c r="O89" i="2"/>
  <c r="O90" i="2"/>
  <c r="O91" i="2"/>
  <c r="O96" i="2"/>
  <c r="O97" i="2"/>
  <c r="O98" i="2"/>
  <c r="O99" i="2"/>
  <c r="O100" i="2"/>
  <c r="O101" i="2"/>
  <c r="O102" i="2"/>
  <c r="O103" i="2"/>
  <c r="G68" i="2"/>
  <c r="G69" i="2"/>
  <c r="G70" i="2"/>
  <c r="G71" i="2"/>
  <c r="G72" i="2"/>
  <c r="G74" i="2"/>
  <c r="G75" i="2"/>
  <c r="G76" i="2"/>
  <c r="G77" i="2"/>
  <c r="G78" i="2"/>
  <c r="G79" i="2"/>
  <c r="G83" i="2"/>
  <c r="G84" i="2"/>
  <c r="G85" i="2"/>
  <c r="G86" i="2"/>
  <c r="G87" i="2"/>
  <c r="G88" i="2"/>
  <c r="G89" i="2"/>
  <c r="G90" i="2"/>
  <c r="G91" i="2"/>
  <c r="G96" i="2"/>
  <c r="G97" i="2"/>
  <c r="G98" i="2"/>
  <c r="G99" i="2"/>
  <c r="G100" i="2"/>
  <c r="G101" i="2"/>
  <c r="G102" i="2"/>
  <c r="G103" i="2"/>
  <c r="F68" i="2"/>
  <c r="F69" i="2"/>
  <c r="F70" i="2"/>
  <c r="F71" i="2"/>
  <c r="F72" i="2"/>
  <c r="F74" i="2"/>
  <c r="F75" i="2"/>
  <c r="F76" i="2"/>
  <c r="F77" i="2"/>
  <c r="F78" i="2"/>
  <c r="F79" i="2"/>
  <c r="F83" i="2"/>
  <c r="F84" i="2"/>
  <c r="F85" i="2"/>
  <c r="F86" i="2"/>
  <c r="F87" i="2"/>
  <c r="F88" i="2"/>
  <c r="F89" i="2"/>
  <c r="F90" i="2"/>
  <c r="F91" i="2"/>
  <c r="F96" i="2"/>
  <c r="F97" i="2"/>
  <c r="F98" i="2"/>
  <c r="F99" i="2"/>
  <c r="F100" i="2"/>
  <c r="F101" i="2"/>
  <c r="F102" i="2"/>
  <c r="F103" i="2"/>
  <c r="J68" i="2"/>
  <c r="J69" i="2"/>
  <c r="J70" i="2"/>
  <c r="J71" i="2"/>
  <c r="J72" i="2"/>
  <c r="J74" i="2"/>
  <c r="J75" i="2"/>
  <c r="J76" i="2"/>
  <c r="J77" i="2"/>
  <c r="J78" i="2"/>
  <c r="J79" i="2"/>
  <c r="J83" i="2"/>
  <c r="J84" i="2"/>
  <c r="J85" i="2"/>
  <c r="J86" i="2"/>
  <c r="J87" i="2"/>
  <c r="J88" i="2"/>
  <c r="J89" i="2"/>
  <c r="J90" i="2"/>
  <c r="J91" i="2"/>
  <c r="J96" i="2"/>
  <c r="J97" i="2"/>
  <c r="J98" i="2"/>
  <c r="J99" i="2"/>
  <c r="J100" i="2"/>
  <c r="J101" i="2"/>
  <c r="J102" i="2"/>
  <c r="J103" i="2"/>
  <c r="F67" i="2"/>
  <c r="W67" i="2" s="1"/>
  <c r="G67" i="2"/>
  <c r="J67" i="2"/>
  <c r="O67" i="2"/>
  <c r="S67" i="2"/>
  <c r="M65" i="2"/>
  <c r="Q65" i="2" s="1"/>
  <c r="M66" i="2"/>
  <c r="Q66" i="2" s="1"/>
  <c r="M67" i="2"/>
  <c r="Q67" i="2" s="1"/>
  <c r="M68" i="2"/>
  <c r="Q68" i="2" s="1"/>
  <c r="M69" i="2"/>
  <c r="Q69" i="2" s="1"/>
  <c r="M70" i="2"/>
  <c r="Q70" i="2" s="1"/>
  <c r="M71" i="2"/>
  <c r="Q71" i="2" s="1"/>
  <c r="M72" i="2"/>
  <c r="Q72" i="2" s="1"/>
  <c r="Q74" i="2"/>
  <c r="M75" i="2"/>
  <c r="Q75" i="2" s="1"/>
  <c r="M76" i="2"/>
  <c r="Q76" i="2" s="1"/>
  <c r="M77" i="2"/>
  <c r="Q77" i="2" s="1"/>
  <c r="M78" i="2"/>
  <c r="Q78" i="2" s="1"/>
  <c r="M79" i="2"/>
  <c r="Q79" i="2" s="1"/>
  <c r="M83" i="2"/>
  <c r="Q83" i="2" s="1"/>
  <c r="M84" i="2"/>
  <c r="Q84" i="2" s="1"/>
  <c r="M85" i="2"/>
  <c r="Q85" i="2" s="1"/>
  <c r="M86" i="2"/>
  <c r="Q86" i="2" s="1"/>
  <c r="M87" i="2"/>
  <c r="Q87" i="2" s="1"/>
  <c r="M88" i="2"/>
  <c r="Q88" i="2" s="1"/>
  <c r="M89" i="2"/>
  <c r="Q89" i="2" s="1"/>
  <c r="M90" i="2"/>
  <c r="Q90" i="2" s="1"/>
  <c r="M91" i="2"/>
  <c r="Q91" i="2" s="1"/>
  <c r="M96" i="2"/>
  <c r="Q96" i="2" s="1"/>
  <c r="M97" i="2"/>
  <c r="Q97" i="2" s="1"/>
  <c r="M98" i="2"/>
  <c r="Q98" i="2" s="1"/>
  <c r="M99" i="2"/>
  <c r="Q99" i="2" s="1"/>
  <c r="M100" i="2"/>
  <c r="Q100" i="2" s="1"/>
  <c r="M101" i="2"/>
  <c r="Q101" i="2" s="1"/>
  <c r="M102" i="2"/>
  <c r="Q102" i="2" s="1"/>
  <c r="M103" i="2"/>
  <c r="Q103" i="2" s="1"/>
  <c r="M63" i="2"/>
  <c r="M64" i="2"/>
  <c r="Q64" i="2" s="1"/>
  <c r="R66" i="2"/>
  <c r="F66" i="2"/>
  <c r="G66" i="2"/>
  <c r="J66" i="2"/>
  <c r="O66" i="2"/>
  <c r="S66" i="2"/>
  <c r="P68" i="2"/>
  <c r="P84" i="2"/>
  <c r="P91" i="2"/>
  <c r="P100" i="2"/>
  <c r="P101" i="2"/>
  <c r="P102" i="2"/>
  <c r="P103" i="2"/>
  <c r="F65" i="2"/>
  <c r="G65" i="2"/>
  <c r="J65" i="2"/>
  <c r="O65" i="2"/>
  <c r="S65" i="2"/>
  <c r="F64" i="2"/>
  <c r="G64" i="2"/>
  <c r="J64" i="2"/>
  <c r="O64" i="2"/>
  <c r="S64" i="2"/>
  <c r="E9" i="4"/>
  <c r="F9" i="4"/>
  <c r="E35" i="4" l="1"/>
  <c r="AC103" i="2"/>
  <c r="AC102" i="2"/>
  <c r="O84" i="9"/>
  <c r="V139" i="2" s="1"/>
  <c r="M139" i="2"/>
  <c r="D14" i="4"/>
  <c r="E14" i="4" s="1"/>
  <c r="E36" i="4"/>
  <c r="C201" i="10"/>
  <c r="C199" i="10"/>
  <c r="C200" i="10"/>
  <c r="F2" i="2"/>
  <c r="F13" i="4"/>
  <c r="AC101" i="2"/>
  <c r="AD101" i="2" s="1"/>
  <c r="M42" i="9"/>
  <c r="O148" i="2" s="1"/>
  <c r="V66" i="2"/>
  <c r="O75" i="9"/>
  <c r="V155" i="2" s="1"/>
  <c r="M155" i="2"/>
  <c r="M51" i="9"/>
  <c r="O67" i="9"/>
  <c r="V159" i="2" s="1"/>
  <c r="M159" i="2"/>
  <c r="K72" i="9"/>
  <c r="M10" i="9"/>
  <c r="M73" i="9" s="1"/>
  <c r="M146" i="2"/>
  <c r="M148" i="2"/>
  <c r="I72" i="9"/>
  <c r="U91" i="2"/>
  <c r="AA91" i="2" s="1"/>
  <c r="M147" i="2"/>
  <c r="K73" i="9"/>
  <c r="F12" i="4"/>
  <c r="E12" i="4"/>
  <c r="V65" i="2"/>
  <c r="U103" i="2"/>
  <c r="X103" i="2" s="1"/>
  <c r="U102" i="2"/>
  <c r="X102" i="2" s="1"/>
  <c r="U101" i="2"/>
  <c r="U100" i="2"/>
  <c r="AA100" i="2" s="1"/>
  <c r="U84" i="2"/>
  <c r="X84" i="2" s="1"/>
  <c r="U68" i="2"/>
  <c r="AA68" i="2" s="1"/>
  <c r="W66" i="2"/>
  <c r="V64" i="2"/>
  <c r="G36" i="4" l="1"/>
  <c r="AD103" i="2"/>
  <c r="C7" i="4"/>
  <c r="C6" i="4"/>
  <c r="F14" i="4"/>
  <c r="E13" i="4"/>
  <c r="AD102" i="2"/>
  <c r="X91" i="2"/>
  <c r="AE91" i="2"/>
  <c r="AE101" i="2"/>
  <c r="X101" i="2"/>
  <c r="AE100" i="2"/>
  <c r="X100" i="2"/>
  <c r="AA84" i="2"/>
  <c r="AE68" i="2"/>
  <c r="X68" i="2"/>
  <c r="C2" i="2" l="1"/>
  <c r="R4" i="5"/>
  <c r="AP4" i="5" s="1"/>
  <c r="C14" i="7"/>
  <c r="AA192" i="2"/>
  <c r="AA200" i="2"/>
  <c r="AA199" i="2"/>
  <c r="AA198" i="2"/>
  <c r="AA184" i="2"/>
  <c r="AA187" i="2"/>
  <c r="AA203" i="2"/>
  <c r="AA185" i="2"/>
  <c r="AA213" i="2"/>
  <c r="AA214" i="2"/>
  <c r="AA188" i="2"/>
  <c r="R103" i="2"/>
  <c r="R102" i="2"/>
  <c r="R86" i="2"/>
  <c r="R85" i="2"/>
  <c r="R84" i="2"/>
  <c r="R83" i="2"/>
  <c r="R79" i="2"/>
  <c r="R78" i="2"/>
  <c r="R77" i="2"/>
  <c r="R76" i="2"/>
  <c r="R75" i="2"/>
  <c r="R62" i="2"/>
  <c r="R61" i="2"/>
  <c r="R59" i="2"/>
  <c r="R58" i="2"/>
  <c r="R57" i="2"/>
  <c r="R56" i="2"/>
  <c r="R55" i="2"/>
  <c r="R54" i="2"/>
  <c r="R53" i="2"/>
  <c r="R52" i="2"/>
  <c r="R51" i="2"/>
  <c r="R50" i="2"/>
  <c r="R49" i="2"/>
  <c r="R48" i="2"/>
  <c r="R47" i="2"/>
  <c r="R46" i="2"/>
  <c r="R45" i="2"/>
  <c r="R44" i="2"/>
  <c r="R32" i="2"/>
  <c r="R30" i="2"/>
  <c r="R28" i="2"/>
  <c r="R27" i="2"/>
  <c r="R24" i="2"/>
  <c r="R22" i="2"/>
  <c r="R21" i="2"/>
  <c r="R19" i="2"/>
  <c r="R18" i="2"/>
  <c r="R17" i="2"/>
  <c r="R16" i="2"/>
  <c r="R12" i="2"/>
  <c r="R10" i="2"/>
  <c r="R9" i="2"/>
  <c r="R8" i="2"/>
  <c r="R7" i="2"/>
  <c r="P61" i="2"/>
  <c r="P59" i="2"/>
  <c r="P55" i="2"/>
  <c r="P51" i="2"/>
  <c r="P48" i="2"/>
  <c r="P45" i="2"/>
  <c r="P19" i="2"/>
  <c r="P12" i="2"/>
  <c r="O63" i="2"/>
  <c r="O62" i="2"/>
  <c r="O61" i="2"/>
  <c r="O59" i="2"/>
  <c r="O58" i="2"/>
  <c r="O57" i="2"/>
  <c r="O56" i="2"/>
  <c r="O55" i="2"/>
  <c r="O54" i="2"/>
  <c r="O53" i="2"/>
  <c r="O52" i="2"/>
  <c r="O51" i="2"/>
  <c r="O50" i="2"/>
  <c r="O49" i="2"/>
  <c r="O48" i="2"/>
  <c r="O47" i="2"/>
  <c r="O46" i="2"/>
  <c r="O45" i="2"/>
  <c r="O44" i="2"/>
  <c r="O39" i="2"/>
  <c r="O37" i="2"/>
  <c r="O36" i="2"/>
  <c r="O34" i="2"/>
  <c r="O32" i="2"/>
  <c r="O30" i="2"/>
  <c r="O28" i="2"/>
  <c r="O27" i="2"/>
  <c r="O24" i="2"/>
  <c r="O22" i="2"/>
  <c r="O21" i="2"/>
  <c r="O19" i="2"/>
  <c r="O18" i="2"/>
  <c r="O17" i="2"/>
  <c r="O16" i="2"/>
  <c r="O13" i="2"/>
  <c r="O12" i="2"/>
  <c r="O11" i="2"/>
  <c r="O10" i="2"/>
  <c r="O9" i="2"/>
  <c r="O8" i="2"/>
  <c r="O7" i="2"/>
  <c r="O6" i="2"/>
  <c r="G63" i="2"/>
  <c r="G62" i="2"/>
  <c r="G61" i="2"/>
  <c r="G59" i="2"/>
  <c r="G58" i="2"/>
  <c r="G57" i="2"/>
  <c r="G56" i="2"/>
  <c r="G55" i="2"/>
  <c r="G54" i="2"/>
  <c r="G53" i="2"/>
  <c r="G52" i="2"/>
  <c r="G51" i="2"/>
  <c r="G50" i="2"/>
  <c r="G49" i="2"/>
  <c r="G48" i="2"/>
  <c r="G47" i="2"/>
  <c r="G46" i="2"/>
  <c r="G45" i="2"/>
  <c r="G44" i="2"/>
  <c r="G39" i="2"/>
  <c r="G37" i="2"/>
  <c r="G36" i="2"/>
  <c r="G34" i="2"/>
  <c r="G32" i="2"/>
  <c r="G30" i="2"/>
  <c r="G28" i="2"/>
  <c r="G27" i="2"/>
  <c r="G24" i="2"/>
  <c r="G22" i="2"/>
  <c r="G21" i="2"/>
  <c r="G19" i="2"/>
  <c r="G18" i="2"/>
  <c r="G17" i="2"/>
  <c r="G16" i="2"/>
  <c r="G13" i="2"/>
  <c r="G12" i="2"/>
  <c r="G11" i="2"/>
  <c r="G10" i="2"/>
  <c r="G9" i="2"/>
  <c r="G8" i="2"/>
  <c r="G7" i="2"/>
  <c r="G6" i="2"/>
  <c r="F63" i="2"/>
  <c r="F62" i="2"/>
  <c r="F61" i="2"/>
  <c r="F59" i="2"/>
  <c r="F58" i="2"/>
  <c r="F57" i="2"/>
  <c r="F56" i="2"/>
  <c r="F55" i="2"/>
  <c r="F54" i="2"/>
  <c r="F53" i="2"/>
  <c r="F52" i="2"/>
  <c r="F51" i="2"/>
  <c r="F50" i="2"/>
  <c r="F49" i="2"/>
  <c r="F48" i="2"/>
  <c r="F47" i="2"/>
  <c r="F46" i="2"/>
  <c r="F45" i="2"/>
  <c r="F44" i="2"/>
  <c r="F39" i="2"/>
  <c r="F37" i="2"/>
  <c r="F36" i="2"/>
  <c r="F34" i="2"/>
  <c r="F32" i="2"/>
  <c r="F30" i="2"/>
  <c r="F28" i="2"/>
  <c r="F27" i="2"/>
  <c r="F24" i="2"/>
  <c r="F22" i="2"/>
  <c r="F21" i="2"/>
  <c r="F19" i="2"/>
  <c r="F18" i="2"/>
  <c r="F17" i="2"/>
  <c r="F13" i="2"/>
  <c r="F12" i="2"/>
  <c r="F11" i="2"/>
  <c r="F10" i="2"/>
  <c r="F9" i="2"/>
  <c r="F8" i="2"/>
  <c r="F7" i="2"/>
  <c r="F6" i="2"/>
  <c r="Q63" i="2"/>
  <c r="M62" i="2"/>
  <c r="Q62" i="2" s="1"/>
  <c r="M61" i="2"/>
  <c r="Q61" i="2" s="1"/>
  <c r="M59" i="2"/>
  <c r="Q59" i="2" s="1"/>
  <c r="M58" i="2"/>
  <c r="Q58" i="2" s="1"/>
  <c r="M57" i="2"/>
  <c r="Q57" i="2" s="1"/>
  <c r="M56" i="2"/>
  <c r="Q56" i="2" s="1"/>
  <c r="M55" i="2"/>
  <c r="Q55" i="2" s="1"/>
  <c r="M54" i="2"/>
  <c r="Q54" i="2" s="1"/>
  <c r="M53" i="2"/>
  <c r="Q53" i="2" s="1"/>
  <c r="M52" i="2"/>
  <c r="Q52" i="2" s="1"/>
  <c r="M51" i="2"/>
  <c r="Q51" i="2" s="1"/>
  <c r="M50" i="2"/>
  <c r="Q50" i="2" s="1"/>
  <c r="M49" i="2"/>
  <c r="Q49" i="2" s="1"/>
  <c r="M48" i="2"/>
  <c r="Q48" i="2" s="1"/>
  <c r="M47" i="2"/>
  <c r="Q47" i="2" s="1"/>
  <c r="M46" i="2"/>
  <c r="Q46" i="2" s="1"/>
  <c r="M45" i="2"/>
  <c r="Q45" i="2" s="1"/>
  <c r="M44" i="2"/>
  <c r="Q44" i="2" s="1"/>
  <c r="M39" i="2"/>
  <c r="Q39" i="2" s="1"/>
  <c r="M37" i="2"/>
  <c r="Q37" i="2" s="1"/>
  <c r="M36" i="2"/>
  <c r="Q36" i="2" s="1"/>
  <c r="M34" i="2"/>
  <c r="Q34" i="2" s="1"/>
  <c r="M32" i="2"/>
  <c r="Q32" i="2" s="1"/>
  <c r="M30" i="2"/>
  <c r="Q30" i="2" s="1"/>
  <c r="M28" i="2"/>
  <c r="Q28" i="2" s="1"/>
  <c r="M27" i="2"/>
  <c r="Q27" i="2" s="1"/>
  <c r="M24" i="2"/>
  <c r="Q24" i="2" s="1"/>
  <c r="M22" i="2"/>
  <c r="Q22" i="2" s="1"/>
  <c r="M21" i="2"/>
  <c r="Q21" i="2" s="1"/>
  <c r="M19" i="2"/>
  <c r="Q19" i="2" s="1"/>
  <c r="M18" i="2"/>
  <c r="Q18" i="2" s="1"/>
  <c r="M17" i="2"/>
  <c r="Q17" i="2" s="1"/>
  <c r="M16" i="2"/>
  <c r="Q16" i="2" s="1"/>
  <c r="M13" i="2"/>
  <c r="Q13" i="2" s="1"/>
  <c r="M12" i="2"/>
  <c r="Q12" i="2" s="1"/>
  <c r="M11" i="2"/>
  <c r="Q11" i="2" s="1"/>
  <c r="M10" i="2"/>
  <c r="Q10" i="2" s="1"/>
  <c r="M9" i="2"/>
  <c r="Q9" i="2" s="1"/>
  <c r="M8" i="2"/>
  <c r="Q8" i="2" s="1"/>
  <c r="M7" i="2"/>
  <c r="Q7" i="2" s="1"/>
  <c r="J63" i="2"/>
  <c r="J62" i="2"/>
  <c r="J61" i="2"/>
  <c r="J59" i="2"/>
  <c r="J58" i="2"/>
  <c r="J57" i="2"/>
  <c r="J56" i="2"/>
  <c r="J55" i="2"/>
  <c r="J54" i="2"/>
  <c r="J53" i="2"/>
  <c r="J52" i="2"/>
  <c r="J51" i="2"/>
  <c r="J50" i="2"/>
  <c r="J49" i="2"/>
  <c r="J48" i="2"/>
  <c r="J47" i="2"/>
  <c r="J46" i="2"/>
  <c r="J45" i="2"/>
  <c r="J44" i="2"/>
  <c r="J39" i="2"/>
  <c r="J37" i="2"/>
  <c r="J36" i="2"/>
  <c r="J34" i="2"/>
  <c r="J32" i="2"/>
  <c r="J28" i="2"/>
  <c r="J27" i="2"/>
  <c r="J24" i="2"/>
  <c r="J22" i="2"/>
  <c r="J21" i="2"/>
  <c r="J19" i="2"/>
  <c r="J18" i="2"/>
  <c r="J17" i="2"/>
  <c r="J16" i="2"/>
  <c r="J13" i="2"/>
  <c r="J12" i="2"/>
  <c r="J11" i="2"/>
  <c r="J10" i="2"/>
  <c r="J9" i="2"/>
  <c r="J8" i="2"/>
  <c r="J7" i="2"/>
  <c r="P26" i="2" l="1"/>
  <c r="Z26" i="2"/>
  <c r="P31" i="2"/>
  <c r="AC31" i="2" s="1"/>
  <c r="Z27" i="2"/>
  <c r="P29" i="2"/>
  <c r="P23" i="2"/>
  <c r="P49" i="2"/>
  <c r="U49" i="2" s="1"/>
  <c r="AA49" i="2" s="1"/>
  <c r="P25" i="2"/>
  <c r="R73" i="2"/>
  <c r="P73" i="2"/>
  <c r="P41" i="2"/>
  <c r="P42" i="2"/>
  <c r="P106" i="2"/>
  <c r="AA109" i="2"/>
  <c r="P112" i="2"/>
  <c r="P113" i="2"/>
  <c r="I111" i="2"/>
  <c r="P108" i="2"/>
  <c r="AC108" i="2" s="1"/>
  <c r="P107" i="2"/>
  <c r="R90" i="2"/>
  <c r="P40" i="2"/>
  <c r="P43" i="2"/>
  <c r="AC43" i="2" s="1"/>
  <c r="R43" i="2"/>
  <c r="W43" i="2" s="1"/>
  <c r="P74" i="2"/>
  <c r="P75" i="2"/>
  <c r="AA75" i="2" s="1"/>
  <c r="P77" i="2"/>
  <c r="AA77" i="2" s="1"/>
  <c r="P86" i="2"/>
  <c r="P70" i="2"/>
  <c r="AA70" i="2" s="1"/>
  <c r="P27" i="2"/>
  <c r="P78" i="2"/>
  <c r="AA78" i="2" s="1"/>
  <c r="P28" i="2"/>
  <c r="P9" i="2"/>
  <c r="P14" i="2"/>
  <c r="P90" i="2"/>
  <c r="R13" i="2"/>
  <c r="P30" i="2"/>
  <c r="P13" i="2"/>
  <c r="P71" i="2"/>
  <c r="AA71" i="2" s="1"/>
  <c r="R14" i="2"/>
  <c r="P72" i="2"/>
  <c r="AA72" i="2" s="1"/>
  <c r="P11" i="2"/>
  <c r="P81" i="2"/>
  <c r="P83" i="2"/>
  <c r="R11" i="2"/>
  <c r="P69" i="2"/>
  <c r="AA69" i="2" s="1"/>
  <c r="R74" i="2"/>
  <c r="P35" i="2"/>
  <c r="U35" i="2" s="1"/>
  <c r="AA35" i="2" s="1"/>
  <c r="P89" i="2"/>
  <c r="P76" i="2"/>
  <c r="AA76" i="2" s="1"/>
  <c r="R35" i="2"/>
  <c r="W35" i="2" s="1"/>
  <c r="P38" i="2"/>
  <c r="U38" i="2" s="1"/>
  <c r="X38" i="2" s="1"/>
  <c r="P79" i="2"/>
  <c r="AA79" i="2" s="1"/>
  <c r="P24" i="2"/>
  <c r="P20" i="2"/>
  <c r="AC20" i="2" s="1"/>
  <c r="P85" i="2"/>
  <c r="AA85" i="2" s="1"/>
  <c r="J17" i="7"/>
  <c r="E17" i="7"/>
  <c r="AA212" i="2"/>
  <c r="C17" i="7"/>
  <c r="S7" i="2"/>
  <c r="S8" i="2"/>
  <c r="S9" i="2"/>
  <c r="S10" i="2"/>
  <c r="S11" i="2"/>
  <c r="S12" i="2"/>
  <c r="S13" i="2"/>
  <c r="S16" i="2"/>
  <c r="S17" i="2"/>
  <c r="S18" i="2"/>
  <c r="S19" i="2"/>
  <c r="S21" i="2"/>
  <c r="S22" i="2"/>
  <c r="S24" i="2"/>
  <c r="S27" i="2"/>
  <c r="S28" i="2"/>
  <c r="S30" i="2"/>
  <c r="S32" i="2"/>
  <c r="S34" i="2"/>
  <c r="S36" i="2"/>
  <c r="S37" i="2"/>
  <c r="S39" i="2"/>
  <c r="S44" i="2"/>
  <c r="S45" i="2"/>
  <c r="S46" i="2"/>
  <c r="S47" i="2"/>
  <c r="S48" i="2"/>
  <c r="S49" i="2"/>
  <c r="S50" i="2"/>
  <c r="S51" i="2"/>
  <c r="S52" i="2"/>
  <c r="S53" i="2"/>
  <c r="S54" i="2"/>
  <c r="S55" i="2"/>
  <c r="S56" i="2"/>
  <c r="S57" i="2"/>
  <c r="S58" i="2"/>
  <c r="S59" i="2"/>
  <c r="S61" i="2"/>
  <c r="S62" i="2"/>
  <c r="S63" i="2"/>
  <c r="V36" i="2"/>
  <c r="V37" i="2"/>
  <c r="V39" i="2"/>
  <c r="V47" i="2"/>
  <c r="V50" i="2"/>
  <c r="V51" i="2"/>
  <c r="V53" i="2"/>
  <c r="V54" i="2"/>
  <c r="V55" i="2"/>
  <c r="V56" i="2"/>
  <c r="V63" i="2"/>
  <c r="V78" i="2"/>
  <c r="V79" i="2"/>
  <c r="V83" i="2"/>
  <c r="V103" i="2"/>
  <c r="V16" i="2"/>
  <c r="V17" i="2"/>
  <c r="M6" i="2"/>
  <c r="Q6" i="2" s="1"/>
  <c r="U26" i="2" l="1"/>
  <c r="AA26" i="2" s="1"/>
  <c r="U31" i="2"/>
  <c r="AA25" i="2"/>
  <c r="AC23" i="2"/>
  <c r="AA23" i="2"/>
  <c r="AA30" i="2"/>
  <c r="AC30" i="2"/>
  <c r="Z31" i="2"/>
  <c r="AE31" i="2"/>
  <c r="X31" i="2"/>
  <c r="AC29" i="2"/>
  <c r="U29" i="2"/>
  <c r="U23" i="2"/>
  <c r="AE23" i="2" s="1"/>
  <c r="U25" i="2"/>
  <c r="AA73" i="2"/>
  <c r="AC73" i="2" s="1"/>
  <c r="AA74" i="2"/>
  <c r="U73" i="2"/>
  <c r="AC42" i="2"/>
  <c r="U42" i="2"/>
  <c r="AA42" i="2" s="1"/>
  <c r="AA90" i="2"/>
  <c r="AC90" i="2" s="1"/>
  <c r="AC41" i="2"/>
  <c r="U41" i="2"/>
  <c r="AC106" i="2"/>
  <c r="U106" i="2"/>
  <c r="AA106" i="2" s="1"/>
  <c r="U107" i="2"/>
  <c r="AA107" i="2" s="1"/>
  <c r="AC107" i="2"/>
  <c r="AA81" i="2"/>
  <c r="AC81" i="2"/>
  <c r="U112" i="2"/>
  <c r="X112" i="2" s="1"/>
  <c r="U113" i="2"/>
  <c r="AE113" i="2" s="1"/>
  <c r="AC113" i="2"/>
  <c r="AC24" i="2"/>
  <c r="AA28" i="2"/>
  <c r="AC28" i="2"/>
  <c r="P111" i="2"/>
  <c r="U108" i="2"/>
  <c r="AE108" i="2" s="1"/>
  <c r="U43" i="2"/>
  <c r="AA43" i="2" s="1"/>
  <c r="U40" i="2"/>
  <c r="AC40" i="2"/>
  <c r="AC38" i="2"/>
  <c r="U20" i="2"/>
  <c r="AE20" i="2" s="1"/>
  <c r="AC35" i="2"/>
  <c r="AA38" i="2"/>
  <c r="AE38" i="2"/>
  <c r="K17" i="7"/>
  <c r="F17" i="7"/>
  <c r="B2" i="7" s="1"/>
  <c r="AE35" i="2"/>
  <c r="X35" i="2"/>
  <c r="U51" i="2"/>
  <c r="W102" i="2"/>
  <c r="W49" i="2"/>
  <c r="V24" i="2"/>
  <c r="V22" i="2"/>
  <c r="W75" i="2"/>
  <c r="W51" i="2"/>
  <c r="U55" i="2"/>
  <c r="V77" i="2"/>
  <c r="U59" i="2"/>
  <c r="AE59" i="2" s="1"/>
  <c r="W103" i="2"/>
  <c r="W50" i="2"/>
  <c r="W56" i="2"/>
  <c r="W59" i="2"/>
  <c r="W84" i="2"/>
  <c r="W61" i="2"/>
  <c r="W46" i="2"/>
  <c r="V21" i="2"/>
  <c r="U48" i="2"/>
  <c r="AE48" i="2" s="1"/>
  <c r="V18" i="2"/>
  <c r="W48" i="2"/>
  <c r="W86" i="2"/>
  <c r="W85" i="2"/>
  <c r="W57" i="2"/>
  <c r="V76" i="2"/>
  <c r="V75" i="2"/>
  <c r="W47" i="2"/>
  <c r="W58" i="2"/>
  <c r="V19" i="2"/>
  <c r="U61" i="2"/>
  <c r="AE61" i="2" s="1"/>
  <c r="V10" i="2"/>
  <c r="V32" i="2"/>
  <c r="V8" i="2"/>
  <c r="V30" i="2"/>
  <c r="V9" i="2"/>
  <c r="V11" i="2"/>
  <c r="W18" i="2"/>
  <c r="W17" i="2"/>
  <c r="V34" i="2"/>
  <c r="V28" i="2"/>
  <c r="W55" i="2"/>
  <c r="AE103" i="2"/>
  <c r="W78" i="2"/>
  <c r="W54" i="2"/>
  <c r="V27" i="2"/>
  <c r="W24" i="2"/>
  <c r="W22" i="2"/>
  <c r="W19" i="2"/>
  <c r="U12" i="2"/>
  <c r="AE12" i="2" s="1"/>
  <c r="W12" i="2"/>
  <c r="V13" i="2"/>
  <c r="W83" i="2"/>
  <c r="W79" i="2"/>
  <c r="V12" i="2"/>
  <c r="V102" i="2"/>
  <c r="V48" i="2"/>
  <c r="U45" i="2"/>
  <c r="AE45" i="2" s="1"/>
  <c r="W44" i="2"/>
  <c r="V85" i="2"/>
  <c r="V58" i="2"/>
  <c r="V45" i="2"/>
  <c r="V49" i="2"/>
  <c r="W10" i="2"/>
  <c r="V84" i="2"/>
  <c r="V57" i="2"/>
  <c r="V44" i="2"/>
  <c r="U19" i="2"/>
  <c r="AE19" i="2" s="1"/>
  <c r="W30" i="2"/>
  <c r="W77" i="2"/>
  <c r="W53" i="2"/>
  <c r="W28" i="2"/>
  <c r="W8" i="2"/>
  <c r="V62" i="2"/>
  <c r="V61" i="2"/>
  <c r="W45" i="2"/>
  <c r="V86" i="2"/>
  <c r="V59" i="2"/>
  <c r="V46" i="2"/>
  <c r="V7" i="2"/>
  <c r="W9" i="2"/>
  <c r="W76" i="2"/>
  <c r="W27" i="2"/>
  <c r="W7" i="2"/>
  <c r="V52" i="2"/>
  <c r="W52" i="2"/>
  <c r="AA31" i="2" l="1"/>
  <c r="AE26" i="2"/>
  <c r="X26" i="2"/>
  <c r="Z29" i="2"/>
  <c r="AA29" i="2" s="1"/>
  <c r="AE29" i="2"/>
  <c r="X29" i="2"/>
  <c r="X23" i="2"/>
  <c r="AE25" i="2"/>
  <c r="X25" i="2"/>
  <c r="AE73" i="2"/>
  <c r="X73" i="2"/>
  <c r="AE41" i="2"/>
  <c r="AA41" i="2"/>
  <c r="X41" i="2"/>
  <c r="AE42" i="2"/>
  <c r="X42" i="2"/>
  <c r="X106" i="2"/>
  <c r="AE106" i="2"/>
  <c r="X107" i="2"/>
  <c r="AE112" i="2"/>
  <c r="AE107" i="2"/>
  <c r="AA113" i="2"/>
  <c r="X113" i="2"/>
  <c r="U111" i="2"/>
  <c r="AE111" i="2" s="1"/>
  <c r="X108" i="2"/>
  <c r="AA108" i="2"/>
  <c r="AE49" i="2"/>
  <c r="AC49" i="2"/>
  <c r="X20" i="2"/>
  <c r="AA20" i="2"/>
  <c r="AE40" i="2"/>
  <c r="AA40" i="2"/>
  <c r="X40" i="2"/>
  <c r="AE43" i="2"/>
  <c r="X43" i="2"/>
  <c r="D2" i="7"/>
  <c r="G5" i="6" s="1"/>
  <c r="AE102" i="2"/>
  <c r="AA51" i="2"/>
  <c r="AE51" i="2"/>
  <c r="AA55" i="2"/>
  <c r="AE55" i="2"/>
  <c r="AE84" i="2"/>
  <c r="X51" i="2"/>
  <c r="X12" i="2"/>
  <c r="AA12" i="2"/>
  <c r="X61" i="2"/>
  <c r="X19" i="2"/>
  <c r="AA19" i="2"/>
  <c r="X48" i="2"/>
  <c r="AA48" i="2"/>
  <c r="X59" i="2"/>
  <c r="X45" i="2"/>
  <c r="AA45" i="2"/>
  <c r="X49" i="2"/>
  <c r="G4" i="6"/>
  <c r="X55" i="2"/>
  <c r="X111" i="2" l="1"/>
  <c r="H2" i="13"/>
  <c r="B19" i="7"/>
  <c r="B4" i="1" s="1"/>
  <c r="D24" i="4"/>
  <c r="W8" i="13" l="1"/>
  <c r="AD8" i="13"/>
  <c r="Y8" i="13"/>
  <c r="AA8" i="13"/>
  <c r="V8" i="13"/>
  <c r="X8" i="13"/>
  <c r="Z8" i="13"/>
  <c r="AB8" i="13"/>
  <c r="AC8" i="13"/>
  <c r="R6" i="2"/>
  <c r="U8" i="13" l="1"/>
  <c r="C3" i="9"/>
  <c r="L2" i="2"/>
  <c r="C3" i="10"/>
  <c r="C22" i="4"/>
  <c r="C21" i="4"/>
  <c r="J6" i="2"/>
  <c r="V6" i="2"/>
  <c r="S6" i="2"/>
  <c r="AA112" i="2" l="1"/>
  <c r="U84" i="9"/>
  <c r="AB139" i="2" s="1"/>
  <c r="T84" i="9"/>
  <c r="AA139" i="2" s="1"/>
  <c r="AA111" i="2"/>
  <c r="AA89" i="2"/>
  <c r="AA86" i="2"/>
  <c r="AC112" i="2"/>
  <c r="AC89" i="2"/>
  <c r="AC111" i="2"/>
  <c r="I110" i="2"/>
  <c r="R110" i="2"/>
  <c r="W110" i="2" s="1"/>
  <c r="AC86" i="2"/>
  <c r="L44" i="2"/>
  <c r="P44" i="2" s="1"/>
  <c r="AC44" i="2" s="1"/>
  <c r="AD18" i="2"/>
  <c r="D77" i="9"/>
  <c r="V84" i="9"/>
  <c r="AC139" i="2" s="1"/>
  <c r="W84" i="9"/>
  <c r="AD139" i="2" s="1"/>
  <c r="C238" i="10"/>
  <c r="C234" i="10"/>
  <c r="B36" i="10"/>
  <c r="F36" i="10" s="1"/>
  <c r="AD170" i="2" s="1"/>
  <c r="C237" i="10"/>
  <c r="C236" i="10"/>
  <c r="C235" i="10"/>
  <c r="C207" i="10"/>
  <c r="C210" i="10" s="1"/>
  <c r="D52" i="9"/>
  <c r="D56" i="9"/>
  <c r="D51" i="9"/>
  <c r="Y62" i="2"/>
  <c r="W62" i="2" s="1"/>
  <c r="Y32" i="2"/>
  <c r="W32" i="2" s="1"/>
  <c r="W21" i="2"/>
  <c r="AC69" i="2"/>
  <c r="W14" i="2"/>
  <c r="U14" i="2"/>
  <c r="P15" i="2"/>
  <c r="U15" i="2" s="1"/>
  <c r="AA15" i="2" s="1"/>
  <c r="P97" i="2"/>
  <c r="AC97" i="2" s="1"/>
  <c r="P98" i="2"/>
  <c r="P99" i="2"/>
  <c r="AC99" i="2" s="1"/>
  <c r="P96" i="2"/>
  <c r="AC96" i="2" s="1"/>
  <c r="U30" i="2"/>
  <c r="AE30" i="2" s="1"/>
  <c r="P32" i="2"/>
  <c r="C2" i="10"/>
  <c r="AA61" i="2"/>
  <c r="C16" i="2"/>
  <c r="P88" i="2"/>
  <c r="AA88" i="2" s="1"/>
  <c r="P87" i="2"/>
  <c r="R87" i="2"/>
  <c r="W87" i="2" s="1"/>
  <c r="C23" i="4"/>
  <c r="C2" i="9"/>
  <c r="V58" i="9"/>
  <c r="C2" i="8"/>
  <c r="C3" i="8" s="1"/>
  <c r="U86" i="2"/>
  <c r="P67" i="2"/>
  <c r="U67" i="2" s="1"/>
  <c r="AA67" i="2" s="1"/>
  <c r="P62" i="2"/>
  <c r="AC62" i="2" s="1"/>
  <c r="R65" i="2"/>
  <c r="W65" i="2" s="1"/>
  <c r="R64" i="2"/>
  <c r="W64" i="2" s="1"/>
  <c r="P65" i="2"/>
  <c r="U65" i="2" s="1"/>
  <c r="P64" i="2"/>
  <c r="U64" i="2" s="1"/>
  <c r="P66" i="2"/>
  <c r="U66" i="2" s="1"/>
  <c r="P63" i="2"/>
  <c r="U63" i="2" s="1"/>
  <c r="R63" i="2"/>
  <c r="W63" i="2" s="1"/>
  <c r="P57" i="2"/>
  <c r="U57" i="2" s="1"/>
  <c r="P56" i="2"/>
  <c r="U56" i="2" s="1"/>
  <c r="P58" i="2"/>
  <c r="R37" i="2"/>
  <c r="W37" i="2" s="1"/>
  <c r="W11" i="2"/>
  <c r="P39" i="2"/>
  <c r="P18" i="2"/>
  <c r="U18" i="2" s="1"/>
  <c r="AE18" i="2" s="1"/>
  <c r="P50" i="2"/>
  <c r="R39" i="2"/>
  <c r="W39" i="2" s="1"/>
  <c r="U9" i="2"/>
  <c r="AE9" i="2" s="1"/>
  <c r="P22" i="2"/>
  <c r="U22" i="2" s="1"/>
  <c r="AE22" i="2" s="1"/>
  <c r="R34" i="2"/>
  <c r="W34" i="2" s="1"/>
  <c r="P54" i="2"/>
  <c r="U54" i="2" s="1"/>
  <c r="P37" i="2"/>
  <c r="P53" i="2"/>
  <c r="P36" i="2"/>
  <c r="P16" i="2"/>
  <c r="AB16" i="2" s="1"/>
  <c r="P52" i="2"/>
  <c r="P34" i="2"/>
  <c r="U13" i="2"/>
  <c r="P47" i="2"/>
  <c r="U47" i="2" s="1"/>
  <c r="P21" i="2"/>
  <c r="U21" i="2" s="1"/>
  <c r="AE21" i="2" s="1"/>
  <c r="U169" i="2"/>
  <c r="U11" i="2"/>
  <c r="P8" i="2"/>
  <c r="AC8" i="2" s="1"/>
  <c r="P46" i="2"/>
  <c r="U46" i="2" s="1"/>
  <c r="AE46" i="2" s="1"/>
  <c r="P7" i="2"/>
  <c r="AC7" i="2" s="1"/>
  <c r="R36" i="2"/>
  <c r="W36" i="2" s="1"/>
  <c r="P10" i="2"/>
  <c r="U10" i="2" s="1"/>
  <c r="AE10" i="2" s="1"/>
  <c r="W13" i="2"/>
  <c r="P6" i="2"/>
  <c r="AC6" i="2" s="1"/>
  <c r="Z17" i="2"/>
  <c r="W6" i="2"/>
  <c r="AD135" i="2" l="1"/>
  <c r="U58" i="2"/>
  <c r="AA14" i="2"/>
  <c r="AA13" i="2"/>
  <c r="AA87" i="2"/>
  <c r="AA18" i="2"/>
  <c r="P110" i="2"/>
  <c r="AC110" i="2" s="1"/>
  <c r="AE15" i="2"/>
  <c r="AC18" i="2"/>
  <c r="AA180" i="2"/>
  <c r="AD181" i="2" s="1"/>
  <c r="C36" i="10"/>
  <c r="E36" i="10"/>
  <c r="AC170" i="2" s="1"/>
  <c r="D36" i="10"/>
  <c r="C215" i="10"/>
  <c r="C216" i="10"/>
  <c r="C213" i="10"/>
  <c r="C226" i="10"/>
  <c r="C225" i="10"/>
  <c r="C224" i="10"/>
  <c r="C223" i="10"/>
  <c r="C227" i="10"/>
  <c r="C214" i="10"/>
  <c r="C212" i="10"/>
  <c r="C211" i="10"/>
  <c r="L135" i="2"/>
  <c r="D135" i="2"/>
  <c r="V135" i="2"/>
  <c r="M135" i="2"/>
  <c r="O135" i="2"/>
  <c r="E135" i="2"/>
  <c r="N135" i="2"/>
  <c r="G135" i="2"/>
  <c r="D78" i="9"/>
  <c r="D79" i="9"/>
  <c r="D80" i="9"/>
  <c r="E79" i="9"/>
  <c r="U79" i="9" s="1"/>
  <c r="E78" i="9"/>
  <c r="U78" i="9" s="1"/>
  <c r="E77" i="9"/>
  <c r="U77" i="9" s="1"/>
  <c r="H82" i="9"/>
  <c r="V82" i="9" s="1"/>
  <c r="E51" i="9"/>
  <c r="C135" i="2" s="1"/>
  <c r="D75" i="10"/>
  <c r="D74" i="10"/>
  <c r="D73" i="10"/>
  <c r="D72" i="10"/>
  <c r="D71" i="10"/>
  <c r="D70" i="10"/>
  <c r="D69" i="10"/>
  <c r="D68" i="10"/>
  <c r="D67" i="10"/>
  <c r="E199" i="10"/>
  <c r="G199" i="10" s="1"/>
  <c r="E201" i="10"/>
  <c r="G201" i="10" s="1"/>
  <c r="AC78" i="2"/>
  <c r="AC59" i="2"/>
  <c r="AC76" i="2"/>
  <c r="AC11" i="2"/>
  <c r="AC37" i="2"/>
  <c r="AC14" i="2"/>
  <c r="AC74" i="2"/>
  <c r="AC13" i="2"/>
  <c r="AC87" i="2"/>
  <c r="AC34" i="2"/>
  <c r="AC39" i="2"/>
  <c r="AC36" i="2"/>
  <c r="U69" i="2"/>
  <c r="X69" i="2" s="1"/>
  <c r="X14" i="2"/>
  <c r="AE14" i="2"/>
  <c r="C79" i="10"/>
  <c r="B192" i="10" s="1"/>
  <c r="C192" i="10" s="1"/>
  <c r="U34" i="2"/>
  <c r="AE34" i="2" s="1"/>
  <c r="AC85" i="2"/>
  <c r="AC79" i="2"/>
  <c r="AC77" i="2"/>
  <c r="AE13" i="2"/>
  <c r="U39" i="2"/>
  <c r="AE39" i="2" s="1"/>
  <c r="U36" i="2"/>
  <c r="AE36" i="2" s="1"/>
  <c r="AE11" i="2"/>
  <c r="AC70" i="2"/>
  <c r="AC75" i="2"/>
  <c r="U37" i="2"/>
  <c r="AE37" i="2" s="1"/>
  <c r="AC71" i="2"/>
  <c r="AC72" i="2"/>
  <c r="H65" i="9"/>
  <c r="V65" i="9" s="1"/>
  <c r="AC158" i="2" s="1"/>
  <c r="H67" i="9"/>
  <c r="D70" i="9"/>
  <c r="D69" i="9"/>
  <c r="E69" i="9"/>
  <c r="U69" i="9" s="1"/>
  <c r="D59" i="10"/>
  <c r="D58" i="10"/>
  <c r="D57" i="10"/>
  <c r="D55" i="10"/>
  <c r="D54" i="10"/>
  <c r="D53" i="10"/>
  <c r="D66" i="10"/>
  <c r="D52" i="10"/>
  <c r="D64" i="10"/>
  <c r="D51" i="10"/>
  <c r="D63" i="10"/>
  <c r="D50" i="10"/>
  <c r="D62" i="10"/>
  <c r="D61" i="10"/>
  <c r="D60" i="10"/>
  <c r="D46" i="10"/>
  <c r="D45" i="10"/>
  <c r="D44" i="10"/>
  <c r="D48" i="10"/>
  <c r="D47" i="10"/>
  <c r="D43" i="10"/>
  <c r="D42" i="10"/>
  <c r="X15" i="2"/>
  <c r="C8" i="10"/>
  <c r="U97" i="2"/>
  <c r="AA97" i="2" s="1"/>
  <c r="U70" i="2"/>
  <c r="AE70" i="2" s="1"/>
  <c r="U76" i="2"/>
  <c r="U99" i="2"/>
  <c r="AA99" i="2" s="1"/>
  <c r="AC98" i="2"/>
  <c r="U98" i="2"/>
  <c r="AA98" i="2" s="1"/>
  <c r="AC83" i="2"/>
  <c r="U83" i="2"/>
  <c r="AA83" i="2" s="1"/>
  <c r="U96" i="2"/>
  <c r="AA96" i="2" s="1"/>
  <c r="C11" i="10"/>
  <c r="E9" i="10"/>
  <c r="F9" i="10" s="1"/>
  <c r="C9" i="10"/>
  <c r="X30" i="2"/>
  <c r="E10" i="10"/>
  <c r="F10" i="10" s="1"/>
  <c r="AC32" i="2"/>
  <c r="U32" i="2"/>
  <c r="AA32" i="2" s="1"/>
  <c r="E8" i="10"/>
  <c r="F8" i="10" s="1"/>
  <c r="C10" i="10"/>
  <c r="U28" i="2"/>
  <c r="AE28" i="2" s="1"/>
  <c r="U27" i="2"/>
  <c r="AA27" i="2" s="1"/>
  <c r="C24" i="4"/>
  <c r="C17" i="1" s="1"/>
  <c r="U44" i="2"/>
  <c r="AE44" i="2" s="1"/>
  <c r="AD17" i="2"/>
  <c r="E62" i="9"/>
  <c r="U62" i="9" s="1"/>
  <c r="D63" i="9"/>
  <c r="D62" i="9"/>
  <c r="D40" i="9"/>
  <c r="E42" i="9"/>
  <c r="C148" i="2" s="1"/>
  <c r="U90" i="2"/>
  <c r="E48" i="9"/>
  <c r="U48" i="9" s="1"/>
  <c r="D49" i="9"/>
  <c r="D48" i="9"/>
  <c r="AC88" i="2"/>
  <c r="U88" i="2"/>
  <c r="U89" i="2"/>
  <c r="U87" i="2"/>
  <c r="H55" i="9"/>
  <c r="V55" i="9" s="1"/>
  <c r="D58" i="9"/>
  <c r="D57" i="9"/>
  <c r="H81" i="9"/>
  <c r="V81" i="9" s="1"/>
  <c r="H85" i="9"/>
  <c r="V85" i="9" s="1"/>
  <c r="H99" i="9"/>
  <c r="V99" i="9" s="1"/>
  <c r="H83" i="9"/>
  <c r="V83" i="9" s="1"/>
  <c r="D18" i="9"/>
  <c r="H76" i="9"/>
  <c r="H35" i="9"/>
  <c r="V35" i="9" s="1"/>
  <c r="H23" i="9"/>
  <c r="V23" i="9" s="1"/>
  <c r="H87" i="9"/>
  <c r="V87" i="9" s="1"/>
  <c r="D13" i="9"/>
  <c r="D22" i="9"/>
  <c r="H64" i="9"/>
  <c r="V64" i="9" s="1"/>
  <c r="D10" i="9"/>
  <c r="D73" i="9" s="1"/>
  <c r="D9" i="9"/>
  <c r="D72" i="9" s="1"/>
  <c r="D24" i="9"/>
  <c r="D30" i="9"/>
  <c r="H46" i="9"/>
  <c r="V46" i="9" s="1"/>
  <c r="D15" i="9"/>
  <c r="H100" i="9"/>
  <c r="V100" i="9" s="1"/>
  <c r="H75" i="9"/>
  <c r="H91" i="9"/>
  <c r="V91" i="9" s="1"/>
  <c r="H50" i="9"/>
  <c r="V50" i="9" s="1"/>
  <c r="H95" i="9"/>
  <c r="V95" i="9" s="1"/>
  <c r="H94" i="9"/>
  <c r="V94" i="9" s="1"/>
  <c r="D28" i="9"/>
  <c r="V63" i="9"/>
  <c r="H14" i="9"/>
  <c r="V14" i="9" s="1"/>
  <c r="H71" i="9"/>
  <c r="H101" i="9"/>
  <c r="V101" i="9" s="1"/>
  <c r="H89" i="9"/>
  <c r="V89" i="9" s="1"/>
  <c r="H49" i="9"/>
  <c r="V49" i="9" s="1"/>
  <c r="H32" i="9"/>
  <c r="V32" i="9" s="1"/>
  <c r="H98" i="9"/>
  <c r="V98" i="9" s="1"/>
  <c r="E9" i="9"/>
  <c r="H44" i="9"/>
  <c r="V44" i="9" s="1"/>
  <c r="H11" i="9"/>
  <c r="V11" i="9" s="1"/>
  <c r="E12" i="9"/>
  <c r="H12" i="9" s="1"/>
  <c r="V12" i="9" s="1"/>
  <c r="H41" i="9"/>
  <c r="V41" i="9" s="1"/>
  <c r="H86" i="9"/>
  <c r="V86" i="9" s="1"/>
  <c r="D21" i="9"/>
  <c r="H20" i="9"/>
  <c r="V20" i="9" s="1"/>
  <c r="D42" i="9"/>
  <c r="D16" i="9"/>
  <c r="H29" i="9"/>
  <c r="V29" i="9" s="1"/>
  <c r="H74" i="9"/>
  <c r="D25" i="9"/>
  <c r="D12" i="9"/>
  <c r="H93" i="9"/>
  <c r="V93" i="9" s="1"/>
  <c r="H17" i="9"/>
  <c r="V17" i="9" s="1"/>
  <c r="H90" i="9"/>
  <c r="V90" i="9" s="1"/>
  <c r="H39" i="9"/>
  <c r="V39" i="9" s="1"/>
  <c r="D27" i="9"/>
  <c r="E15" i="9"/>
  <c r="H15" i="9" s="1"/>
  <c r="V15" i="9" s="1"/>
  <c r="D19" i="9"/>
  <c r="E24" i="9"/>
  <c r="U24" i="9" s="1"/>
  <c r="H26" i="9"/>
  <c r="V26" i="9" s="1"/>
  <c r="H96" i="9"/>
  <c r="V96" i="9" s="1"/>
  <c r="H43" i="9"/>
  <c r="V43" i="9" s="1"/>
  <c r="D31" i="9"/>
  <c r="H97" i="9"/>
  <c r="V97" i="9" s="1"/>
  <c r="H66" i="9"/>
  <c r="V66" i="9" s="1"/>
  <c r="H92" i="9"/>
  <c r="V92" i="9" s="1"/>
  <c r="E27" i="9"/>
  <c r="U27" i="9" s="1"/>
  <c r="H53" i="9"/>
  <c r="V53" i="9" s="1"/>
  <c r="H68" i="9"/>
  <c r="V68" i="9" s="1"/>
  <c r="H88" i="9"/>
  <c r="V88" i="9" s="1"/>
  <c r="H47" i="9"/>
  <c r="V47" i="9" s="1"/>
  <c r="H61" i="9"/>
  <c r="V61" i="9" s="1"/>
  <c r="H60" i="9"/>
  <c r="V60" i="9" s="1"/>
  <c r="E57" i="9"/>
  <c r="U57" i="9" s="1"/>
  <c r="E30" i="9"/>
  <c r="H30" i="9" s="1"/>
  <c r="V30" i="9" s="1"/>
  <c r="D33" i="9"/>
  <c r="D34" i="9"/>
  <c r="D60" i="9"/>
  <c r="D59" i="9"/>
  <c r="E18" i="9"/>
  <c r="U18" i="9" s="1"/>
  <c r="E59" i="9"/>
  <c r="U59" i="9" s="1"/>
  <c r="E21" i="9"/>
  <c r="H21" i="9" s="1"/>
  <c r="V21" i="9" s="1"/>
  <c r="E33" i="9"/>
  <c r="U33" i="9" s="1"/>
  <c r="E34" i="9"/>
  <c r="D38" i="9"/>
  <c r="D37" i="9"/>
  <c r="E38" i="9"/>
  <c r="U38" i="9" s="1"/>
  <c r="E37" i="9"/>
  <c r="U37" i="9" s="1"/>
  <c r="E36" i="9"/>
  <c r="U36" i="9" s="1"/>
  <c r="D36" i="9"/>
  <c r="H54" i="9"/>
  <c r="H45" i="9"/>
  <c r="E40" i="9"/>
  <c r="U40" i="9" s="1"/>
  <c r="B49" i="8"/>
  <c r="N58" i="9"/>
  <c r="Q58" i="9" s="1"/>
  <c r="P58" i="9"/>
  <c r="T25" i="9"/>
  <c r="U24" i="2"/>
  <c r="X86" i="2"/>
  <c r="AE86" i="2"/>
  <c r="U85" i="2"/>
  <c r="U77" i="2"/>
  <c r="AE77" i="2" s="1"/>
  <c r="U75" i="2"/>
  <c r="U79" i="2"/>
  <c r="U78" i="2"/>
  <c r="U72" i="2"/>
  <c r="AE72" i="2" s="1"/>
  <c r="U74" i="2"/>
  <c r="X74" i="2" s="1"/>
  <c r="X67" i="2"/>
  <c r="AE67" i="2"/>
  <c r="U62" i="2"/>
  <c r="AA62" i="2" s="1"/>
  <c r="U71" i="2"/>
  <c r="AC67" i="2"/>
  <c r="AE63" i="2"/>
  <c r="AA63" i="2"/>
  <c r="AC63" i="2" s="1"/>
  <c r="X63" i="2"/>
  <c r="AA66" i="2"/>
  <c r="AC66" i="2" s="1"/>
  <c r="X66" i="2"/>
  <c r="AE66" i="2"/>
  <c r="AE64" i="2"/>
  <c r="AA64" i="2"/>
  <c r="AC64" i="2" s="1"/>
  <c r="X64" i="2"/>
  <c r="AA65" i="2"/>
  <c r="AC65" i="2" s="1"/>
  <c r="AE65" i="2"/>
  <c r="X65" i="2"/>
  <c r="U6" i="2"/>
  <c r="U7" i="2"/>
  <c r="AE7" i="2" s="1"/>
  <c r="U8" i="2"/>
  <c r="AE8" i="2" s="1"/>
  <c r="AA47" i="2"/>
  <c r="AC47" i="2" s="1"/>
  <c r="AE47" i="2"/>
  <c r="AA54" i="2"/>
  <c r="AE54" i="2"/>
  <c r="AC58" i="2"/>
  <c r="AC56" i="2"/>
  <c r="AC57" i="2"/>
  <c r="P17" i="2"/>
  <c r="AB17" i="2" s="1"/>
  <c r="X18" i="2"/>
  <c r="X11" i="2"/>
  <c r="AA11" i="2"/>
  <c r="X22" i="2"/>
  <c r="AA22" i="2"/>
  <c r="X21" i="2"/>
  <c r="AA21" i="2"/>
  <c r="X9" i="2"/>
  <c r="AA9" i="2"/>
  <c r="AC169" i="2"/>
  <c r="AA169" i="2"/>
  <c r="X13" i="2"/>
  <c r="X10" i="2"/>
  <c r="AA10" i="2"/>
  <c r="AC54" i="2"/>
  <c r="F16" i="2"/>
  <c r="U16" i="2" s="1"/>
  <c r="AA16" i="2" s="1"/>
  <c r="X46" i="2"/>
  <c r="AA46" i="2"/>
  <c r="U50" i="2"/>
  <c r="AA50" i="2" s="1"/>
  <c r="AC50" i="2"/>
  <c r="X54" i="2"/>
  <c r="AC53" i="2"/>
  <c r="U53" i="2"/>
  <c r="X47" i="2"/>
  <c r="AC52" i="2"/>
  <c r="U52" i="2"/>
  <c r="AC10" i="2"/>
  <c r="AC22" i="2"/>
  <c r="AC21" i="2"/>
  <c r="AC46" i="2"/>
  <c r="AC9" i="2"/>
  <c r="AE27" i="2" l="1"/>
  <c r="Z24" i="2"/>
  <c r="AA24" i="2" s="1"/>
  <c r="AE24" i="2"/>
  <c r="AD140" i="2"/>
  <c r="AB140" i="2"/>
  <c r="U110" i="2"/>
  <c r="AA110" i="2" s="1"/>
  <c r="AE50" i="2"/>
  <c r="AA104" i="2"/>
  <c r="AC104" i="2" s="1"/>
  <c r="AB104" i="2"/>
  <c r="AD174" i="2"/>
  <c r="AC174" i="2"/>
  <c r="AA170" i="2"/>
  <c r="AC178" i="2"/>
  <c r="AD178" i="2" s="1"/>
  <c r="AA179" i="2"/>
  <c r="AA177" i="2"/>
  <c r="AC179" i="2"/>
  <c r="AD179" i="2" s="1"/>
  <c r="AA178" i="2"/>
  <c r="AC177" i="2"/>
  <c r="AD177" i="2" s="1"/>
  <c r="AA181" i="2"/>
  <c r="AD162" i="2"/>
  <c r="AB162" i="2"/>
  <c r="C162" i="2"/>
  <c r="D162" i="2"/>
  <c r="V162" i="2"/>
  <c r="O162" i="2"/>
  <c r="M162" i="2"/>
  <c r="L162" i="2"/>
  <c r="N162" i="2"/>
  <c r="G162" i="2"/>
  <c r="E162" i="2"/>
  <c r="H77" i="9"/>
  <c r="N77" i="9" s="1"/>
  <c r="T77" i="9" s="1"/>
  <c r="H78" i="9"/>
  <c r="N78" i="9" s="1"/>
  <c r="T78" i="9" s="1"/>
  <c r="H79" i="9"/>
  <c r="V79" i="9" s="1"/>
  <c r="AB160" i="2"/>
  <c r="V75" i="9"/>
  <c r="AC155" i="2" s="1"/>
  <c r="F155" i="2"/>
  <c r="AB154" i="2"/>
  <c r="AB153" i="2"/>
  <c r="H34" i="9"/>
  <c r="V34" i="9" s="1"/>
  <c r="U34" i="9"/>
  <c r="AB145" i="2" s="1"/>
  <c r="AE69" i="2"/>
  <c r="X37" i="2"/>
  <c r="AA39" i="2"/>
  <c r="AA176" i="2"/>
  <c r="C196" i="10"/>
  <c r="E200" i="10" s="1"/>
  <c r="D160" i="2"/>
  <c r="AA34" i="2"/>
  <c r="X34" i="2"/>
  <c r="AA36" i="2"/>
  <c r="X36" i="2"/>
  <c r="AA37" i="2"/>
  <c r="X39" i="2"/>
  <c r="F158" i="2"/>
  <c r="V67" i="9"/>
  <c r="AC159" i="2" s="1"/>
  <c r="F159" i="2"/>
  <c r="AD160" i="2"/>
  <c r="G160" i="2"/>
  <c r="E160" i="2"/>
  <c r="O160" i="2"/>
  <c r="C160" i="2"/>
  <c r="N160" i="2"/>
  <c r="M160" i="2"/>
  <c r="L160" i="2"/>
  <c r="V160" i="2"/>
  <c r="H69" i="9"/>
  <c r="V69" i="9" s="1"/>
  <c r="AC160" i="2" s="1"/>
  <c r="V70" i="9"/>
  <c r="AA173" i="2"/>
  <c r="AA175" i="2"/>
  <c r="AE97" i="2"/>
  <c r="AA174" i="2"/>
  <c r="AC172" i="2"/>
  <c r="AA172" i="2"/>
  <c r="X97" i="2"/>
  <c r="AE99" i="2"/>
  <c r="X99" i="2"/>
  <c r="X70" i="2"/>
  <c r="X76" i="2"/>
  <c r="AE76" i="2"/>
  <c r="X83" i="2"/>
  <c r="AE83" i="2"/>
  <c r="X98" i="2"/>
  <c r="AE98" i="2"/>
  <c r="X96" i="2"/>
  <c r="AE96" i="2"/>
  <c r="AA101" i="2"/>
  <c r="AA103" i="2"/>
  <c r="AA102" i="2"/>
  <c r="X27" i="2"/>
  <c r="X28" i="2"/>
  <c r="AE32" i="2"/>
  <c r="X32" i="2"/>
  <c r="AA44" i="2"/>
  <c r="X44" i="2"/>
  <c r="X6" i="2"/>
  <c r="AC16" i="2"/>
  <c r="H42" i="9"/>
  <c r="F148" i="2" s="1"/>
  <c r="AD161" i="2"/>
  <c r="G161" i="2"/>
  <c r="L161" i="2"/>
  <c r="D161" i="2"/>
  <c r="V161" i="2"/>
  <c r="O161" i="2"/>
  <c r="N161" i="2"/>
  <c r="M161" i="2"/>
  <c r="U9" i="9"/>
  <c r="U72" i="9" s="1"/>
  <c r="E72" i="9"/>
  <c r="C157" i="2"/>
  <c r="AD157" i="2"/>
  <c r="G157" i="2"/>
  <c r="N157" i="2"/>
  <c r="M157" i="2"/>
  <c r="L157" i="2"/>
  <c r="E157" i="2"/>
  <c r="D157" i="2"/>
  <c r="V157" i="2"/>
  <c r="O157" i="2"/>
  <c r="AB157" i="2"/>
  <c r="H62" i="9"/>
  <c r="V62" i="9" s="1"/>
  <c r="AC157" i="2" s="1"/>
  <c r="U51" i="9"/>
  <c r="AB135" i="2" s="1"/>
  <c r="N45" i="9"/>
  <c r="F146" i="2"/>
  <c r="P54" i="9"/>
  <c r="W147" i="2" s="1"/>
  <c r="F147" i="2"/>
  <c r="U42" i="9"/>
  <c r="AB148" i="2" s="1"/>
  <c r="N143" i="2"/>
  <c r="N91" i="9"/>
  <c r="Q91" i="9" s="1"/>
  <c r="P64" i="9"/>
  <c r="H48" i="9"/>
  <c r="V48" i="9" s="1"/>
  <c r="AC150" i="2" s="1"/>
  <c r="N81" i="9"/>
  <c r="Q81" i="9" s="1"/>
  <c r="C140" i="2"/>
  <c r="V140" i="2"/>
  <c r="O140" i="2"/>
  <c r="N140" i="2"/>
  <c r="L140" i="2"/>
  <c r="D140" i="2"/>
  <c r="M140" i="2"/>
  <c r="E140" i="2"/>
  <c r="G140" i="2"/>
  <c r="P89" i="9"/>
  <c r="N90" i="9"/>
  <c r="Q90" i="9" s="1"/>
  <c r="P43" i="9"/>
  <c r="P95" i="9"/>
  <c r="P47" i="9"/>
  <c r="P61" i="9"/>
  <c r="N95" i="9"/>
  <c r="Q95" i="9" s="1"/>
  <c r="N67" i="9"/>
  <c r="V133" i="2"/>
  <c r="D136" i="2"/>
  <c r="AE90" i="2"/>
  <c r="X90" i="2"/>
  <c r="P97" i="9"/>
  <c r="AD137" i="2"/>
  <c r="P71" i="9"/>
  <c r="L144" i="2"/>
  <c r="N55" i="9"/>
  <c r="Q55" i="9" s="1"/>
  <c r="P87" i="9"/>
  <c r="L134" i="2"/>
  <c r="AD141" i="2"/>
  <c r="P96" i="9"/>
  <c r="O144" i="2"/>
  <c r="P55" i="9"/>
  <c r="D144" i="2"/>
  <c r="H33" i="9"/>
  <c r="V33" i="9" s="1"/>
  <c r="N82" i="9"/>
  <c r="Q82" i="9" s="1"/>
  <c r="AD136" i="2"/>
  <c r="AD150" i="2"/>
  <c r="G150" i="2"/>
  <c r="AB150" i="2"/>
  <c r="C150" i="2"/>
  <c r="V150" i="2"/>
  <c r="O150" i="2"/>
  <c r="N150" i="2"/>
  <c r="E150" i="2"/>
  <c r="D150" i="2"/>
  <c r="M150" i="2"/>
  <c r="L150" i="2"/>
  <c r="P82" i="9"/>
  <c r="N86" i="9"/>
  <c r="Q86" i="9" s="1"/>
  <c r="N41" i="9"/>
  <c r="Q41" i="9" s="1"/>
  <c r="P49" i="9"/>
  <c r="N49" i="9"/>
  <c r="Q49" i="9" s="1"/>
  <c r="N47" i="9"/>
  <c r="Q47" i="9" s="1"/>
  <c r="X89" i="2"/>
  <c r="AE89" i="2"/>
  <c r="AE88" i="2"/>
  <c r="X88" i="2"/>
  <c r="P81" i="9"/>
  <c r="N11" i="9"/>
  <c r="Q11" i="9" s="1"/>
  <c r="N61" i="9"/>
  <c r="Q61" i="9" s="1"/>
  <c r="N60" i="9"/>
  <c r="Q60" i="9" s="1"/>
  <c r="D134" i="2"/>
  <c r="P99" i="9"/>
  <c r="N94" i="9"/>
  <c r="Q94" i="9" s="1"/>
  <c r="N99" i="9"/>
  <c r="Q99" i="9" s="1"/>
  <c r="P39" i="9"/>
  <c r="N50" i="9"/>
  <c r="Q50" i="9" s="1"/>
  <c r="P35" i="9"/>
  <c r="N44" i="9"/>
  <c r="Q44" i="9" s="1"/>
  <c r="V143" i="2"/>
  <c r="M133" i="2"/>
  <c r="N97" i="9"/>
  <c r="Q97" i="9" s="1"/>
  <c r="P46" i="9"/>
  <c r="AD133" i="2"/>
  <c r="AB138" i="2"/>
  <c r="X87" i="2"/>
  <c r="AE87" i="2"/>
  <c r="N43" i="9"/>
  <c r="Q43" i="9" s="1"/>
  <c r="G133" i="2"/>
  <c r="N98" i="9"/>
  <c r="Q98" i="9" s="1"/>
  <c r="L133" i="2"/>
  <c r="AB144" i="2"/>
  <c r="E144" i="2"/>
  <c r="N29" i="9"/>
  <c r="Q29" i="9" s="1"/>
  <c r="N46" i="9"/>
  <c r="Q46" i="9" s="1"/>
  <c r="N133" i="2"/>
  <c r="P100" i="9"/>
  <c r="P66" i="9"/>
  <c r="D133" i="2"/>
  <c r="G144" i="2"/>
  <c r="O141" i="2"/>
  <c r="N83" i="9"/>
  <c r="Q83" i="9" s="1"/>
  <c r="V138" i="2"/>
  <c r="N144" i="2"/>
  <c r="P83" i="9"/>
  <c r="P93" i="9"/>
  <c r="N70" i="9"/>
  <c r="N76" i="9"/>
  <c r="Q76" i="9" s="1"/>
  <c r="U15" i="9"/>
  <c r="G138" i="2"/>
  <c r="N66" i="9"/>
  <c r="Q66" i="9" s="1"/>
  <c r="P76" i="9"/>
  <c r="D137" i="2"/>
  <c r="M138" i="2"/>
  <c r="G137" i="2"/>
  <c r="D138" i="2"/>
  <c r="O138" i="2"/>
  <c r="H9" i="9"/>
  <c r="N35" i="9"/>
  <c r="Q35" i="9" s="1"/>
  <c r="H27" i="9"/>
  <c r="V27" i="9" s="1"/>
  <c r="AC144" i="2" s="1"/>
  <c r="O143" i="2"/>
  <c r="M137" i="2"/>
  <c r="L137" i="2"/>
  <c r="P44" i="9"/>
  <c r="V144" i="2"/>
  <c r="L138" i="2"/>
  <c r="N134" i="2"/>
  <c r="P85" i="9"/>
  <c r="N92" i="9"/>
  <c r="Q92" i="9" s="1"/>
  <c r="P41" i="9"/>
  <c r="N85" i="9"/>
  <c r="Q85" i="9" s="1"/>
  <c r="AD144" i="2"/>
  <c r="P92" i="9"/>
  <c r="N71" i="9"/>
  <c r="Q71" i="9" s="1"/>
  <c r="P29" i="9"/>
  <c r="P67" i="9"/>
  <c r="W159" i="2" s="1"/>
  <c r="O134" i="2"/>
  <c r="N137" i="2"/>
  <c r="D143" i="2"/>
  <c r="G134" i="2"/>
  <c r="O137" i="2"/>
  <c r="E143" i="2"/>
  <c r="G141" i="2"/>
  <c r="N63" i="9"/>
  <c r="Q63" i="9" s="1"/>
  <c r="AD134" i="2"/>
  <c r="M144" i="2"/>
  <c r="AD143" i="2"/>
  <c r="M141" i="2"/>
  <c r="N100" i="9"/>
  <c r="Q100" i="9" s="1"/>
  <c r="P23" i="9"/>
  <c r="P98" i="9"/>
  <c r="N54" i="9"/>
  <c r="C143" i="2"/>
  <c r="V141" i="2"/>
  <c r="P53" i="9"/>
  <c r="N84" i="9"/>
  <c r="N20" i="9"/>
  <c r="Q20" i="9" s="1"/>
  <c r="C144" i="2"/>
  <c r="G143" i="2"/>
  <c r="N141" i="2"/>
  <c r="N23" i="9"/>
  <c r="Q23" i="9" s="1"/>
  <c r="P84" i="9"/>
  <c r="W139" i="2" s="1"/>
  <c r="P20" i="9"/>
  <c r="P90" i="9"/>
  <c r="P11" i="9"/>
  <c r="P17" i="9"/>
  <c r="P63" i="9"/>
  <c r="V137" i="2"/>
  <c r="M143" i="2"/>
  <c r="L141" i="2"/>
  <c r="N88" i="9"/>
  <c r="Q88" i="9" s="1"/>
  <c r="V136" i="2"/>
  <c r="G136" i="2"/>
  <c r="E138" i="2"/>
  <c r="P101" i="9"/>
  <c r="AD138" i="2"/>
  <c r="P26" i="9"/>
  <c r="AC143" i="2"/>
  <c r="P75" i="9"/>
  <c r="W155" i="2" s="1"/>
  <c r="N87" i="9"/>
  <c r="Q87" i="9" s="1"/>
  <c r="H24" i="9"/>
  <c r="V24" i="9" s="1"/>
  <c r="AC138" i="2" s="1"/>
  <c r="M136" i="2"/>
  <c r="N68" i="9"/>
  <c r="Q68" i="9" s="1"/>
  <c r="P74" i="9"/>
  <c r="N136" i="2"/>
  <c r="P94" i="9"/>
  <c r="P68" i="9"/>
  <c r="N74" i="9"/>
  <c r="Q74" i="9" s="1"/>
  <c r="N53" i="9"/>
  <c r="Q53" i="9" s="1"/>
  <c r="O136" i="2"/>
  <c r="C138" i="2"/>
  <c r="G145" i="2"/>
  <c r="O133" i="2"/>
  <c r="M134" i="2"/>
  <c r="U30" i="9"/>
  <c r="AB143" i="2" s="1"/>
  <c r="L143" i="2"/>
  <c r="N138" i="2"/>
  <c r="D141" i="2"/>
  <c r="P86" i="9"/>
  <c r="N17" i="9"/>
  <c r="Q17" i="9" s="1"/>
  <c r="N93" i="9"/>
  <c r="Q93" i="9" s="1"/>
  <c r="N101" i="9"/>
  <c r="Q101" i="9" s="1"/>
  <c r="P70" i="9"/>
  <c r="V134" i="2"/>
  <c r="N65" i="9"/>
  <c r="U158" i="2" s="1"/>
  <c r="P88" i="9"/>
  <c r="N26" i="9"/>
  <c r="Q26" i="9" s="1"/>
  <c r="N14" i="9"/>
  <c r="Q14" i="9" s="1"/>
  <c r="P14" i="9"/>
  <c r="U12" i="9"/>
  <c r="P65" i="9"/>
  <c r="W158" i="2" s="1"/>
  <c r="L136" i="2"/>
  <c r="P60" i="9"/>
  <c r="P50" i="9"/>
  <c r="N39" i="9"/>
  <c r="Q39" i="9" s="1"/>
  <c r="P32" i="9"/>
  <c r="N32" i="9"/>
  <c r="Q32" i="9" s="1"/>
  <c r="N64" i="9"/>
  <c r="Q64" i="9" s="1"/>
  <c r="N89" i="9"/>
  <c r="Q89" i="9" s="1"/>
  <c r="P91" i="9"/>
  <c r="N75" i="9"/>
  <c r="N96" i="9"/>
  <c r="Q96" i="9" s="1"/>
  <c r="AD151" i="2"/>
  <c r="AB151" i="2"/>
  <c r="E145" i="2"/>
  <c r="N145" i="2"/>
  <c r="M145" i="2"/>
  <c r="L145" i="2"/>
  <c r="O145" i="2"/>
  <c r="V145" i="2"/>
  <c r="D145" i="2"/>
  <c r="AD145" i="2"/>
  <c r="P45" i="9"/>
  <c r="W146" i="2" s="1"/>
  <c r="H18" i="9"/>
  <c r="V18" i="9" s="1"/>
  <c r="U21" i="9"/>
  <c r="C151" i="2"/>
  <c r="L151" i="2"/>
  <c r="E151" i="2"/>
  <c r="D151" i="2"/>
  <c r="G151" i="2"/>
  <c r="O151" i="2"/>
  <c r="H57" i="9"/>
  <c r="H59" i="9"/>
  <c r="C145" i="2"/>
  <c r="M154" i="2"/>
  <c r="O153" i="2"/>
  <c r="AD154" i="2"/>
  <c r="G154" i="2"/>
  <c r="M153" i="2"/>
  <c r="E153" i="2"/>
  <c r="D153" i="2"/>
  <c r="C153" i="2"/>
  <c r="O154" i="2"/>
  <c r="N154" i="2"/>
  <c r="L154" i="2"/>
  <c r="N153" i="2"/>
  <c r="L153" i="2"/>
  <c r="E154" i="2"/>
  <c r="G153" i="2"/>
  <c r="D154" i="2"/>
  <c r="C154" i="2"/>
  <c r="V154" i="2"/>
  <c r="V153" i="2"/>
  <c r="H51" i="9"/>
  <c r="F135" i="2" s="1"/>
  <c r="H36" i="9"/>
  <c r="H37" i="9"/>
  <c r="H38" i="9"/>
  <c r="V45" i="9"/>
  <c r="AC146" i="2" s="1"/>
  <c r="V54" i="9"/>
  <c r="AC147" i="2" s="1"/>
  <c r="H40" i="9"/>
  <c r="V40" i="9" s="1"/>
  <c r="AC140" i="2" s="1"/>
  <c r="F143" i="2"/>
  <c r="P15" i="9"/>
  <c r="P21" i="9"/>
  <c r="N30" i="9"/>
  <c r="Q30" i="9" s="1"/>
  <c r="P30" i="9"/>
  <c r="W143" i="2" s="1"/>
  <c r="N21" i="9"/>
  <c r="Q21" i="9" s="1"/>
  <c r="P12" i="9"/>
  <c r="N12" i="9"/>
  <c r="Q12" i="9" s="1"/>
  <c r="J49" i="8"/>
  <c r="E22" i="9" s="1"/>
  <c r="H49" i="8"/>
  <c r="E16" i="9" s="1"/>
  <c r="G49" i="8"/>
  <c r="F49" i="8"/>
  <c r="E13" i="9" s="1"/>
  <c r="E49" i="8"/>
  <c r="E10" i="9" s="1"/>
  <c r="E73" i="9" s="1"/>
  <c r="D49" i="8"/>
  <c r="C49" i="8"/>
  <c r="G10" i="9" s="1"/>
  <c r="I49" i="8"/>
  <c r="E19" i="9" s="1"/>
  <c r="N15" i="9"/>
  <c r="Q15" i="9" s="1"/>
  <c r="T58" i="9"/>
  <c r="X24" i="2"/>
  <c r="X77" i="2"/>
  <c r="X85" i="2"/>
  <c r="AE85" i="2"/>
  <c r="X72" i="2"/>
  <c r="X78" i="2"/>
  <c r="AE78" i="2"/>
  <c r="X79" i="2"/>
  <c r="AE79" i="2"/>
  <c r="AE74" i="2"/>
  <c r="X75" i="2"/>
  <c r="AE75" i="2"/>
  <c r="AE62" i="2"/>
  <c r="X62" i="2"/>
  <c r="X7" i="2"/>
  <c r="AE71" i="2"/>
  <c r="X71" i="2"/>
  <c r="AA6" i="2"/>
  <c r="AE6" i="2"/>
  <c r="AA7" i="2"/>
  <c r="AA8" i="2"/>
  <c r="X8" i="2"/>
  <c r="X57" i="2"/>
  <c r="AE57" i="2"/>
  <c r="X56" i="2"/>
  <c r="AE56" i="2"/>
  <c r="X58" i="2"/>
  <c r="AE58" i="2"/>
  <c r="AE16" i="2"/>
  <c r="AA53" i="2"/>
  <c r="AE53" i="2"/>
  <c r="AA52" i="2"/>
  <c r="AE52" i="2"/>
  <c r="AA58" i="2"/>
  <c r="AA56" i="2"/>
  <c r="AA57" i="2"/>
  <c r="U17" i="2"/>
  <c r="AA17" i="2" s="1"/>
  <c r="X16" i="2"/>
  <c r="X50" i="2"/>
  <c r="W16" i="2"/>
  <c r="X52" i="2"/>
  <c r="X53" i="2"/>
  <c r="C141" i="2" l="1"/>
  <c r="C137" i="2"/>
  <c r="AA59" i="2"/>
  <c r="AE110" i="2"/>
  <c r="X110" i="2"/>
  <c r="Q84" i="9"/>
  <c r="X139" i="2" s="1"/>
  <c r="U139" i="2"/>
  <c r="P77" i="9"/>
  <c r="V77" i="9"/>
  <c r="F162" i="2"/>
  <c r="N79" i="9"/>
  <c r="T79" i="9" s="1"/>
  <c r="AA162" i="2" s="1"/>
  <c r="V78" i="9"/>
  <c r="P79" i="9"/>
  <c r="P78" i="9"/>
  <c r="Q78" i="9"/>
  <c r="Q77" i="9"/>
  <c r="P34" i="9"/>
  <c r="AC145" i="2"/>
  <c r="N34" i="9"/>
  <c r="Q34" i="9" s="1"/>
  <c r="Q75" i="9"/>
  <c r="X155" i="2" s="1"/>
  <c r="U155" i="2"/>
  <c r="G200" i="10"/>
  <c r="N69" i="9"/>
  <c r="U160" i="2" s="1"/>
  <c r="Q70" i="9"/>
  <c r="T70" i="9" s="1"/>
  <c r="P69" i="9"/>
  <c r="W160" i="2" s="1"/>
  <c r="Q65" i="9"/>
  <c r="X158" i="2" s="1"/>
  <c r="Q67" i="9"/>
  <c r="X159" i="2" s="1"/>
  <c r="U159" i="2"/>
  <c r="F160" i="2"/>
  <c r="F151" i="2"/>
  <c r="T94" i="9"/>
  <c r="T81" i="9"/>
  <c r="T91" i="9"/>
  <c r="N42" i="9"/>
  <c r="U148" i="2" s="1"/>
  <c r="V42" i="9"/>
  <c r="AC148" i="2" s="1"/>
  <c r="C161" i="2"/>
  <c r="P42" i="9"/>
  <c r="W148" i="2" s="1"/>
  <c r="P62" i="9"/>
  <c r="W157" i="2" s="1"/>
  <c r="T82" i="9"/>
  <c r="T43" i="9"/>
  <c r="T55" i="9"/>
  <c r="T90" i="9"/>
  <c r="E133" i="2"/>
  <c r="G73" i="9"/>
  <c r="E161" i="2" s="1"/>
  <c r="V9" i="9"/>
  <c r="V72" i="9" s="1"/>
  <c r="H72" i="9"/>
  <c r="N62" i="9"/>
  <c r="F157" i="2"/>
  <c r="T86" i="9"/>
  <c r="Q45" i="9"/>
  <c r="X146" i="2" s="1"/>
  <c r="U146" i="2"/>
  <c r="N51" i="9"/>
  <c r="U135" i="2" s="1"/>
  <c r="Q54" i="9"/>
  <c r="X147" i="2" s="1"/>
  <c r="U147" i="2"/>
  <c r="T99" i="9"/>
  <c r="T47" i="9"/>
  <c r="T44" i="9"/>
  <c r="T95" i="9"/>
  <c r="T76" i="9"/>
  <c r="T61" i="9"/>
  <c r="T35" i="9"/>
  <c r="N48" i="9"/>
  <c r="Q48" i="9" s="1"/>
  <c r="F150" i="2"/>
  <c r="P48" i="9"/>
  <c r="W150" i="2" s="1"/>
  <c r="T50" i="9"/>
  <c r="F145" i="2"/>
  <c r="T71" i="9"/>
  <c r="T89" i="9"/>
  <c r="F140" i="2"/>
  <c r="T63" i="9"/>
  <c r="N33" i="9"/>
  <c r="P33" i="9"/>
  <c r="T98" i="9"/>
  <c r="P9" i="9"/>
  <c r="P72" i="9" s="1"/>
  <c r="T92" i="9"/>
  <c r="T83" i="9"/>
  <c r="T66" i="9"/>
  <c r="T41" i="9"/>
  <c r="T60" i="9"/>
  <c r="T29" i="9"/>
  <c r="N9" i="9"/>
  <c r="T11" i="9"/>
  <c r="T87" i="9"/>
  <c r="T26" i="9"/>
  <c r="T85" i="9"/>
  <c r="T97" i="9"/>
  <c r="T49" i="9"/>
  <c r="T100" i="9"/>
  <c r="T46" i="9"/>
  <c r="T101" i="9"/>
  <c r="T68" i="9"/>
  <c r="T93" i="9"/>
  <c r="T74" i="9"/>
  <c r="F144" i="2"/>
  <c r="T88" i="9"/>
  <c r="F138" i="2"/>
  <c r="T20" i="9"/>
  <c r="T64" i="9"/>
  <c r="P27" i="9"/>
  <c r="W144" i="2" s="1"/>
  <c r="T14" i="9"/>
  <c r="T96" i="9"/>
  <c r="P24" i="9"/>
  <c r="W138" i="2" s="1"/>
  <c r="N24" i="9"/>
  <c r="Q24" i="9" s="1"/>
  <c r="T32" i="9"/>
  <c r="N27" i="9"/>
  <c r="Q27" i="9" s="1"/>
  <c r="T39" i="9"/>
  <c r="T23" i="9"/>
  <c r="T53" i="9"/>
  <c r="T17" i="9"/>
  <c r="N18" i="9"/>
  <c r="Q18" i="9" s="1"/>
  <c r="P18" i="9"/>
  <c r="V59" i="9"/>
  <c r="P59" i="9"/>
  <c r="N59" i="9"/>
  <c r="Q59" i="9" s="1"/>
  <c r="V57" i="9"/>
  <c r="P57" i="9"/>
  <c r="N57" i="9"/>
  <c r="Q57" i="9" s="1"/>
  <c r="F154" i="2"/>
  <c r="V51" i="9"/>
  <c r="AC135" i="2" s="1"/>
  <c r="P51" i="9"/>
  <c r="W135" i="2" s="1"/>
  <c r="F153" i="2"/>
  <c r="AA153" i="2" s="1"/>
  <c r="V38" i="9"/>
  <c r="P38" i="9"/>
  <c r="N38" i="9"/>
  <c r="Q38" i="9" s="1"/>
  <c r="V37" i="9"/>
  <c r="N37" i="9"/>
  <c r="Q37" i="9" s="1"/>
  <c r="P37" i="9"/>
  <c r="V36" i="9"/>
  <c r="N36" i="9"/>
  <c r="Q36" i="9" s="1"/>
  <c r="P36" i="9"/>
  <c r="N40" i="9"/>
  <c r="P40" i="9"/>
  <c r="W140" i="2" s="1"/>
  <c r="X143" i="2"/>
  <c r="U143" i="2"/>
  <c r="T21" i="9"/>
  <c r="T12" i="9"/>
  <c r="C133" i="2"/>
  <c r="U10" i="9"/>
  <c r="C134" i="2"/>
  <c r="C136" i="2"/>
  <c r="G13" i="9"/>
  <c r="E134" i="2" s="1"/>
  <c r="G16" i="9"/>
  <c r="H16" i="9" s="1"/>
  <c r="G19" i="9"/>
  <c r="H19" i="9" s="1"/>
  <c r="G22" i="9"/>
  <c r="U22" i="9" s="1"/>
  <c r="AB136" i="2" s="1"/>
  <c r="H10" i="9"/>
  <c r="AE17" i="2"/>
  <c r="X17" i="2"/>
  <c r="AC162" i="2" l="1"/>
  <c r="W162" i="2"/>
  <c r="Q79" i="9"/>
  <c r="X162" i="2" s="1"/>
  <c r="U162" i="2"/>
  <c r="W145" i="2"/>
  <c r="T75" i="9"/>
  <c r="AA155" i="2" s="1"/>
  <c r="AC80" i="2"/>
  <c r="AB80" i="2" s="1"/>
  <c r="Q69" i="9"/>
  <c r="T69" i="9" s="1"/>
  <c r="AA160" i="2" s="1"/>
  <c r="T67" i="9"/>
  <c r="AA159" i="2" s="1"/>
  <c r="T65" i="9"/>
  <c r="AA158" i="2" s="1"/>
  <c r="Q42" i="9"/>
  <c r="X148" i="2" s="1"/>
  <c r="T45" i="9"/>
  <c r="AA146" i="2" s="1"/>
  <c r="F133" i="2"/>
  <c r="H73" i="9"/>
  <c r="F161" i="2" s="1"/>
  <c r="Q9" i="9"/>
  <c r="Q72" i="9" s="1"/>
  <c r="N72" i="9"/>
  <c r="AB133" i="2"/>
  <c r="U73" i="9"/>
  <c r="AB161" i="2" s="1"/>
  <c r="T54" i="9"/>
  <c r="AA147" i="2" s="1"/>
  <c r="Q62" i="9"/>
  <c r="X157" i="2" s="1"/>
  <c r="U157" i="2"/>
  <c r="Q51" i="9"/>
  <c r="X135" i="2" s="1"/>
  <c r="Q33" i="9"/>
  <c r="X145" i="2" s="1"/>
  <c r="U140" i="2"/>
  <c r="Q40" i="9"/>
  <c r="U150" i="2"/>
  <c r="U145" i="2"/>
  <c r="U151" i="2"/>
  <c r="X144" i="2"/>
  <c r="U138" i="2"/>
  <c r="T24" i="9"/>
  <c r="AA138" i="2" s="1"/>
  <c r="T48" i="9"/>
  <c r="AA150" i="2" s="1"/>
  <c r="X150" i="2"/>
  <c r="U144" i="2"/>
  <c r="AC151" i="2"/>
  <c r="T59" i="9"/>
  <c r="U154" i="2"/>
  <c r="U153" i="2"/>
  <c r="W154" i="2"/>
  <c r="W153" i="2"/>
  <c r="AC153" i="2"/>
  <c r="AC154" i="2"/>
  <c r="T36" i="9"/>
  <c r="T37" i="9"/>
  <c r="N19" i="9"/>
  <c r="Q19" i="9" s="1"/>
  <c r="E141" i="2"/>
  <c r="T18" i="9"/>
  <c r="T34" i="9"/>
  <c r="T30" i="9"/>
  <c r="AA143" i="2" s="1"/>
  <c r="V16" i="9"/>
  <c r="AC137" i="2" s="1"/>
  <c r="E137" i="2"/>
  <c r="U16" i="9"/>
  <c r="AB137" i="2" s="1"/>
  <c r="U13" i="9"/>
  <c r="AB134" i="2" s="1"/>
  <c r="T15" i="9"/>
  <c r="H22" i="9"/>
  <c r="N22" i="9" s="1"/>
  <c r="Q22" i="9" s="1"/>
  <c r="E136" i="2"/>
  <c r="H13" i="9"/>
  <c r="F134" i="2" s="1"/>
  <c r="U19" i="9"/>
  <c r="AB141" i="2" s="1"/>
  <c r="N10" i="9"/>
  <c r="V10" i="9"/>
  <c r="P10" i="9"/>
  <c r="AA80" i="2" l="1"/>
  <c r="X160" i="2"/>
  <c r="T42" i="9"/>
  <c r="AA148" i="2" s="1"/>
  <c r="T9" i="9"/>
  <c r="T72" i="9" s="1"/>
  <c r="W133" i="2"/>
  <c r="P73" i="9"/>
  <c r="W161" i="2" s="1"/>
  <c r="AC133" i="2"/>
  <c r="V73" i="9"/>
  <c r="AC161" i="2" s="1"/>
  <c r="T62" i="9"/>
  <c r="AA157" i="2" s="1"/>
  <c r="Q10" i="9"/>
  <c r="Q73" i="9" s="1"/>
  <c r="X161" i="2" s="1"/>
  <c r="N73" i="9"/>
  <c r="U161" i="2" s="1"/>
  <c r="T33" i="9"/>
  <c r="AA145" i="2" s="1"/>
  <c r="T51" i="9"/>
  <c r="AA135" i="2" s="1"/>
  <c r="T40" i="9"/>
  <c r="AA140" i="2" s="1"/>
  <c r="X140" i="2"/>
  <c r="T27" i="9"/>
  <c r="AA144" i="2" s="1"/>
  <c r="U141" i="2"/>
  <c r="U136" i="2"/>
  <c r="X136" i="2"/>
  <c r="X138" i="2"/>
  <c r="T57" i="9"/>
  <c r="AA151" i="2" s="1"/>
  <c r="X151" i="2"/>
  <c r="T38" i="9"/>
  <c r="AA154" i="2" s="1"/>
  <c r="X154" i="2"/>
  <c r="X153" i="2"/>
  <c r="P19" i="9"/>
  <c r="W141" i="2" s="1"/>
  <c r="V19" i="9"/>
  <c r="AC141" i="2" s="1"/>
  <c r="F141" i="2"/>
  <c r="P16" i="9"/>
  <c r="W137" i="2" s="1"/>
  <c r="N16" i="9"/>
  <c r="Q16" i="9" s="1"/>
  <c r="F137" i="2"/>
  <c r="V13" i="9"/>
  <c r="AC134" i="2" s="1"/>
  <c r="N13" i="9"/>
  <c r="Q13" i="9" s="1"/>
  <c r="P22" i="9"/>
  <c r="W136" i="2" s="1"/>
  <c r="P13" i="9"/>
  <c r="W134" i="2" s="1"/>
  <c r="V22" i="9"/>
  <c r="AC136" i="2" s="1"/>
  <c r="F136" i="2"/>
  <c r="U133" i="2"/>
  <c r="X133" i="2" l="1"/>
  <c r="U134" i="2"/>
  <c r="T19" i="9"/>
  <c r="AA141" i="2" s="1"/>
  <c r="X141" i="2"/>
  <c r="U137" i="2"/>
  <c r="X137" i="2"/>
  <c r="X134" i="2"/>
  <c r="T10" i="9"/>
  <c r="T22" i="9"/>
  <c r="AA136" i="2" s="1"/>
  <c r="AA133" i="2" l="1"/>
  <c r="T73" i="9"/>
  <c r="AA161" i="2" s="1"/>
  <c r="T13" i="9"/>
  <c r="AA134" i="2" s="1"/>
  <c r="T16" i="9"/>
  <c r="AA137" i="2" s="1"/>
  <c r="F8" i="13" l="1"/>
  <c r="K8" i="13"/>
  <c r="M8" i="13"/>
  <c r="G8" i="13"/>
  <c r="L8" i="13"/>
  <c r="H8" i="13"/>
  <c r="I8" i="13"/>
  <c r="S31" i="6" l="1"/>
  <c r="Z31" i="6" s="1"/>
  <c r="S39" i="6"/>
  <c r="Z39" i="6" s="1"/>
  <c r="S37" i="6"/>
  <c r="Z37" i="6" s="1"/>
  <c r="S13" i="6"/>
  <c r="Z13" i="6" s="1"/>
  <c r="S17" i="6"/>
  <c r="Z17" i="6" s="1"/>
  <c r="K19" i="6"/>
  <c r="R19" i="6" s="1"/>
  <c r="C17" i="6"/>
  <c r="J17" i="6" s="1"/>
  <c r="C21" i="6"/>
  <c r="J21" i="6" s="1"/>
  <c r="K17" i="6"/>
  <c r="R17" i="6" s="1"/>
  <c r="S47" i="6"/>
  <c r="X61" i="6"/>
  <c r="P63" i="6"/>
  <c r="P61" i="6"/>
  <c r="S49" i="6"/>
  <c r="Z49" i="6" s="1"/>
  <c r="W43" i="6"/>
  <c r="AA223" i="2" s="1"/>
  <c r="C41" i="6"/>
  <c r="K27" i="6"/>
  <c r="S23" i="6"/>
  <c r="K51" i="6"/>
  <c r="K53" i="6"/>
  <c r="K13" i="6"/>
  <c r="W33" i="6"/>
  <c r="AA218" i="2" s="1"/>
  <c r="S15" i="6"/>
  <c r="C53" i="6"/>
  <c r="G3" i="6"/>
  <c r="C8" i="1" s="1"/>
  <c r="K45" i="6"/>
  <c r="C47" i="6"/>
  <c r="K41" i="6"/>
  <c r="S43" i="6"/>
  <c r="Z43" i="6" s="1"/>
  <c r="S51" i="6"/>
  <c r="Z51" i="6" s="1"/>
  <c r="H63" i="6"/>
  <c r="K35" i="6"/>
  <c r="C43" i="6"/>
  <c r="C29" i="6"/>
  <c r="S19" i="6"/>
  <c r="C45" i="6"/>
  <c r="S11" i="6"/>
  <c r="K31" i="6"/>
  <c r="K39" i="6"/>
  <c r="K29" i="6"/>
  <c r="W41" i="6"/>
  <c r="AA222" i="2" s="1"/>
  <c r="K55" i="6"/>
  <c r="W37" i="6"/>
  <c r="AA220" i="2" s="1"/>
  <c r="C15" i="6"/>
  <c r="J15" i="6" s="1"/>
  <c r="S21" i="6"/>
  <c r="W55" i="6"/>
  <c r="AA229" i="2" s="1"/>
  <c r="W39" i="6"/>
  <c r="AA221" i="2" s="1"/>
  <c r="W31" i="6"/>
  <c r="AA217" i="2" s="1"/>
  <c r="C39" i="6"/>
  <c r="H61" i="6"/>
  <c r="C35" i="6"/>
  <c r="C31" i="6"/>
  <c r="S53" i="6"/>
  <c r="Z53" i="6" s="1"/>
  <c r="C49" i="6"/>
  <c r="G7" i="6"/>
  <c r="C8" i="5" s="1"/>
  <c r="AA8" i="5" s="1"/>
  <c r="C33" i="6"/>
  <c r="K49" i="6"/>
  <c r="K33" i="6"/>
  <c r="C27" i="6"/>
  <c r="K37" i="6"/>
  <c r="S25" i="6"/>
  <c r="W51" i="6"/>
  <c r="AA227" i="2" s="1"/>
  <c r="C19" i="6"/>
  <c r="W47" i="6"/>
  <c r="AA225" i="2" s="1"/>
  <c r="W53" i="6"/>
  <c r="AA228" i="2" s="1"/>
  <c r="W49" i="6"/>
  <c r="AA226" i="2" s="1"/>
  <c r="K21" i="6"/>
  <c r="K23" i="6"/>
  <c r="W35" i="6"/>
  <c r="AA219" i="2" s="1"/>
  <c r="C11" i="6"/>
  <c r="S45" i="6"/>
  <c r="Z45" i="6" s="1"/>
  <c r="C13" i="6"/>
  <c r="S41" i="6"/>
  <c r="Z41" i="6" s="1"/>
  <c r="K43" i="6"/>
  <c r="S33" i="6"/>
  <c r="Z33" i="6" s="1"/>
  <c r="C23" i="6"/>
  <c r="K25" i="6"/>
  <c r="C51" i="6"/>
  <c r="W45" i="6"/>
  <c r="AA224" i="2" s="1"/>
  <c r="K47" i="6"/>
  <c r="K11" i="6"/>
  <c r="C37" i="6"/>
  <c r="C25" i="6"/>
  <c r="S35" i="6"/>
  <c r="Z35" i="6" s="1"/>
  <c r="K15" i="6"/>
  <c r="C55" i="6"/>
  <c r="S55" i="6"/>
  <c r="Z55" i="6" s="1"/>
  <c r="AC26" i="2" l="1"/>
  <c r="AD81" i="2"/>
  <c r="AD80" i="2"/>
  <c r="AD111" i="2"/>
  <c r="AD112" i="2"/>
  <c r="AA19" i="5"/>
  <c r="B205" i="2"/>
  <c r="B156" i="12" s="1"/>
  <c r="B207" i="2"/>
  <c r="AA207" i="2" s="1"/>
  <c r="C21" i="5"/>
  <c r="C17" i="5"/>
  <c r="AA17" i="5"/>
  <c r="B211" i="2"/>
  <c r="B162" i="12" s="1"/>
  <c r="Z25" i="6"/>
  <c r="B204" i="2"/>
  <c r="AA204" i="2" s="1"/>
  <c r="Z11" i="6"/>
  <c r="B208" i="2"/>
  <c r="AA208" i="2" s="1"/>
  <c r="Z19" i="6"/>
  <c r="B206" i="2"/>
  <c r="AA206" i="2" s="1"/>
  <c r="Z15" i="6"/>
  <c r="B209" i="2"/>
  <c r="AA209" i="2" s="1"/>
  <c r="Z21" i="6"/>
  <c r="B225" i="2"/>
  <c r="B173" i="12" s="1"/>
  <c r="Z47" i="6"/>
  <c r="B210" i="2"/>
  <c r="B161" i="12" s="1"/>
  <c r="Z23" i="6"/>
  <c r="AA23" i="5"/>
  <c r="R23" i="6"/>
  <c r="C53" i="5"/>
  <c r="J53" i="6"/>
  <c r="AA25" i="5"/>
  <c r="R25" i="6"/>
  <c r="AA11" i="5"/>
  <c r="R11" i="6"/>
  <c r="C11" i="5"/>
  <c r="J11" i="6"/>
  <c r="C27" i="5"/>
  <c r="J27" i="6"/>
  <c r="C39" i="5"/>
  <c r="J39" i="6"/>
  <c r="AA31" i="5"/>
  <c r="R31" i="6"/>
  <c r="C47" i="5"/>
  <c r="J47" i="6"/>
  <c r="C41" i="5"/>
  <c r="J41" i="6"/>
  <c r="AA45" i="5"/>
  <c r="R45" i="6"/>
  <c r="C29" i="5"/>
  <c r="J29" i="6"/>
  <c r="C43" i="5"/>
  <c r="J43" i="6"/>
  <c r="AA55" i="5"/>
  <c r="R55" i="6"/>
  <c r="AA35" i="5"/>
  <c r="R35" i="6"/>
  <c r="AA13" i="5"/>
  <c r="R13" i="6"/>
  <c r="C23" i="5"/>
  <c r="J23" i="6"/>
  <c r="AA53" i="5"/>
  <c r="R53" i="6"/>
  <c r="C15" i="5"/>
  <c r="C31" i="5"/>
  <c r="J31" i="6"/>
  <c r="AA51" i="5"/>
  <c r="R51" i="6"/>
  <c r="AA47" i="5"/>
  <c r="R47" i="6"/>
  <c r="C51" i="5"/>
  <c r="J51" i="6"/>
  <c r="AA21" i="5"/>
  <c r="R21" i="6"/>
  <c r="AA33" i="5"/>
  <c r="R33" i="6"/>
  <c r="C45" i="5"/>
  <c r="J45" i="6"/>
  <c r="AA49" i="5"/>
  <c r="R49" i="6"/>
  <c r="C33" i="5"/>
  <c r="J33" i="6"/>
  <c r="C55" i="5"/>
  <c r="J55" i="6"/>
  <c r="C49" i="5"/>
  <c r="J49" i="6"/>
  <c r="AA15" i="5"/>
  <c r="R15" i="6"/>
  <c r="C19" i="5"/>
  <c r="J19" i="6"/>
  <c r="C35" i="5"/>
  <c r="J35" i="6"/>
  <c r="AA29" i="5"/>
  <c r="R29" i="6"/>
  <c r="AA43" i="5"/>
  <c r="R43" i="6"/>
  <c r="C13" i="5"/>
  <c r="J13" i="6"/>
  <c r="C25" i="5"/>
  <c r="J25" i="6"/>
  <c r="C37" i="5"/>
  <c r="J37" i="6"/>
  <c r="AA37" i="5"/>
  <c r="R37" i="6"/>
  <c r="AA39" i="5"/>
  <c r="R39" i="6"/>
  <c r="AA41" i="5"/>
  <c r="R41" i="6"/>
  <c r="AA27" i="5"/>
  <c r="R27" i="6"/>
  <c r="AD89" i="2"/>
  <c r="AD62" i="2"/>
  <c r="AD49" i="2"/>
  <c r="AD6" i="2"/>
  <c r="AD96" i="2"/>
  <c r="AD36" i="2"/>
  <c r="AD7" i="2"/>
  <c r="AD90" i="2"/>
  <c r="AD35" i="2"/>
  <c r="AD88" i="2"/>
  <c r="AD34" i="2"/>
  <c r="AD83" i="2"/>
  <c r="AD32" i="2"/>
  <c r="AD76" i="2"/>
  <c r="AD31" i="2"/>
  <c r="AD79" i="2"/>
  <c r="AD30" i="2"/>
  <c r="AD71" i="2"/>
  <c r="AD20" i="2"/>
  <c r="AD58" i="2"/>
  <c r="AD11" i="2"/>
  <c r="AD57" i="2"/>
  <c r="AD10" i="2"/>
  <c r="AD56" i="2"/>
  <c r="AD9" i="2"/>
  <c r="AD52" i="2"/>
  <c r="AD8" i="2"/>
  <c r="AD37" i="2"/>
  <c r="AD42" i="2"/>
  <c r="AD38" i="2"/>
  <c r="AD69" i="2"/>
  <c r="AD107" i="2"/>
  <c r="AD21" i="2"/>
  <c r="AD67" i="2"/>
  <c r="AD43" i="2"/>
  <c r="AD73" i="2"/>
  <c r="AD77" i="2"/>
  <c r="AD99" i="2"/>
  <c r="AD70" i="2"/>
  <c r="AD29" i="2"/>
  <c r="AD41" i="2"/>
  <c r="AD72" i="2"/>
  <c r="AD75" i="2"/>
  <c r="AD85" i="2"/>
  <c r="AD28" i="2"/>
  <c r="AD40" i="2"/>
  <c r="AD23" i="2"/>
  <c r="AD39" i="2"/>
  <c r="AD108" i="2"/>
  <c r="AD22" i="2"/>
  <c r="AD87" i="2"/>
  <c r="AD44" i="2"/>
  <c r="AD78" i="2"/>
  <c r="AD106" i="2"/>
  <c r="AD113" i="2"/>
  <c r="AD50" i="2"/>
  <c r="AD98" i="2"/>
  <c r="AD74" i="2"/>
  <c r="AD24" i="2"/>
  <c r="AC25" i="2"/>
  <c r="AC27" i="2"/>
  <c r="AD86" i="2"/>
  <c r="AD97" i="2"/>
  <c r="AD110" i="2"/>
  <c r="AD59" i="2"/>
  <c r="B228" i="2"/>
  <c r="B176" i="12" s="1"/>
  <c r="B229" i="2"/>
  <c r="B177" i="12" s="1"/>
  <c r="B218" i="2"/>
  <c r="B166" i="12" s="1"/>
  <c r="B222" i="2"/>
  <c r="B170" i="12" s="1"/>
  <c r="B219" i="2"/>
  <c r="B167" i="12" s="1"/>
  <c r="B217" i="2"/>
  <c r="B165" i="12" s="1"/>
  <c r="B227" i="2"/>
  <c r="B175" i="12" s="1"/>
  <c r="B223" i="2"/>
  <c r="B171" i="12" s="1"/>
  <c r="B224" i="2"/>
  <c r="B172" i="12" s="1"/>
  <c r="B226" i="2"/>
  <c r="B174" i="12" s="1"/>
  <c r="B220" i="2"/>
  <c r="B168" i="12" s="1"/>
  <c r="B221" i="2"/>
  <c r="B169" i="12" s="1"/>
  <c r="P37" i="5" l="1"/>
  <c r="J29" i="5"/>
  <c r="C32" i="5"/>
  <c r="P23" i="5"/>
  <c r="P25" i="5"/>
  <c r="AA205" i="2"/>
  <c r="C20" i="5"/>
  <c r="P13" i="5"/>
  <c r="B158" i="12"/>
  <c r="P35" i="5"/>
  <c r="P11" i="5"/>
  <c r="P17" i="5"/>
  <c r="P51" i="5"/>
  <c r="AA210" i="2"/>
  <c r="AN33" i="5"/>
  <c r="B159" i="12"/>
  <c r="AA211" i="2"/>
  <c r="AH37" i="5" s="1"/>
  <c r="C18" i="5"/>
  <c r="P18" i="5"/>
  <c r="B155" i="12"/>
  <c r="C36" i="5"/>
  <c r="P36" i="5"/>
  <c r="P48" i="5"/>
  <c r="C12" i="5"/>
  <c r="B157" i="12"/>
  <c r="J35" i="5"/>
  <c r="P12" i="5"/>
  <c r="B160" i="12"/>
  <c r="P24" i="5"/>
  <c r="P20" i="5"/>
  <c r="C30" i="5"/>
  <c r="C38" i="5"/>
  <c r="P26" i="5"/>
  <c r="C26" i="5"/>
  <c r="P19" i="5"/>
  <c r="P32" i="5"/>
  <c r="P31" i="5"/>
  <c r="P29" i="5"/>
  <c r="C14" i="5"/>
  <c r="C24" i="5"/>
  <c r="P30" i="5"/>
  <c r="AN50" i="5"/>
  <c r="P42" i="5"/>
  <c r="P21" i="5"/>
  <c r="C46" i="5"/>
  <c r="P34" i="5"/>
  <c r="AN36" i="5"/>
  <c r="AN18" i="5"/>
  <c r="P52" i="5"/>
  <c r="AA42" i="5"/>
  <c r="AN28" i="5"/>
  <c r="AN45" i="5"/>
  <c r="AA28" i="5"/>
  <c r="P56" i="5"/>
  <c r="AN14" i="5"/>
  <c r="AN42" i="5"/>
  <c r="J49" i="5"/>
  <c r="AN55" i="5"/>
  <c r="AA22" i="5"/>
  <c r="AN48" i="5"/>
  <c r="AN46" i="5"/>
  <c r="P38" i="5"/>
  <c r="AN12" i="5"/>
  <c r="AN13" i="5"/>
  <c r="AH19" i="5"/>
  <c r="P47" i="5"/>
  <c r="AA12" i="5"/>
  <c r="AN21" i="5"/>
  <c r="AA50" i="5"/>
  <c r="P53" i="5"/>
  <c r="AA40" i="5"/>
  <c r="AN49" i="5"/>
  <c r="AH11" i="5"/>
  <c r="P27" i="5"/>
  <c r="AN16" i="5"/>
  <c r="AA46" i="5"/>
  <c r="AN40" i="5"/>
  <c r="AA16" i="5"/>
  <c r="P15" i="5"/>
  <c r="P44" i="5"/>
  <c r="C16" i="5"/>
  <c r="C56" i="5"/>
  <c r="C54" i="5"/>
  <c r="P39" i="5"/>
  <c r="AA36" i="5"/>
  <c r="C52" i="5"/>
  <c r="AH35" i="5"/>
  <c r="AN17" i="5"/>
  <c r="P40" i="5"/>
  <c r="AN41" i="5"/>
  <c r="AA56" i="5"/>
  <c r="AN39" i="5"/>
  <c r="AN56" i="5"/>
  <c r="P54" i="5"/>
  <c r="C28" i="5"/>
  <c r="C42" i="5"/>
  <c r="AN30" i="5"/>
  <c r="AN15" i="5"/>
  <c r="P43" i="5"/>
  <c r="P14" i="5"/>
  <c r="AA44" i="5"/>
  <c r="P55" i="5"/>
  <c r="AN38" i="5"/>
  <c r="AN52" i="5"/>
  <c r="P49" i="5"/>
  <c r="AN43" i="5"/>
  <c r="J55" i="5"/>
  <c r="AA18" i="5"/>
  <c r="AN47" i="5"/>
  <c r="C40" i="5"/>
  <c r="P28" i="5"/>
  <c r="C34" i="5"/>
  <c r="P33" i="5"/>
  <c r="AN37" i="5"/>
  <c r="AN51" i="5"/>
  <c r="P45" i="5"/>
  <c r="P41" i="5"/>
  <c r="AN19" i="5"/>
  <c r="P22" i="5"/>
  <c r="AN20" i="5"/>
  <c r="AN35" i="5"/>
  <c r="AA14" i="5"/>
  <c r="AN22" i="5"/>
  <c r="AN27" i="5"/>
  <c r="AA30" i="5"/>
  <c r="P16" i="5"/>
  <c r="C44" i="5"/>
  <c r="AN29" i="5"/>
  <c r="AA52" i="5"/>
  <c r="AA38" i="5"/>
  <c r="C50" i="5"/>
  <c r="AN44" i="5"/>
  <c r="AA34" i="5"/>
  <c r="AA24" i="5"/>
  <c r="AA48" i="5"/>
  <c r="AN11" i="5"/>
  <c r="P50" i="5"/>
  <c r="C22" i="5"/>
  <c r="AA20" i="5"/>
  <c r="P46" i="5"/>
  <c r="AN34" i="5"/>
  <c r="AN24" i="5"/>
  <c r="C48" i="5"/>
  <c r="AN23" i="5"/>
  <c r="AN31" i="5"/>
  <c r="AA32" i="5"/>
  <c r="AN32" i="5"/>
  <c r="AH31" i="5"/>
  <c r="AN53" i="5"/>
  <c r="AH53" i="5"/>
  <c r="AN54" i="5"/>
  <c r="AN26" i="5"/>
  <c r="AA54" i="5"/>
  <c r="AA26" i="5"/>
  <c r="AN25" i="5"/>
  <c r="J25" i="5"/>
  <c r="J23" i="5"/>
  <c r="AH29" i="5"/>
  <c r="J43" i="5"/>
  <c r="AH51" i="5"/>
  <c r="AH21" i="5"/>
  <c r="J27" i="5"/>
  <c r="J45" i="5"/>
  <c r="J53" i="5"/>
  <c r="AH25" i="5"/>
  <c r="J13" i="5"/>
  <c r="J41" i="5"/>
  <c r="AH13" i="5"/>
  <c r="AH41" i="5"/>
  <c r="AH55" i="5"/>
  <c r="J15" i="5"/>
  <c r="AH47" i="5"/>
  <c r="AH15" i="5"/>
  <c r="J51" i="5"/>
  <c r="J37" i="5"/>
  <c r="AH49" i="5"/>
  <c r="J21" i="5"/>
  <c r="AH43" i="5"/>
  <c r="J31" i="5"/>
  <c r="J19" i="5"/>
  <c r="J33" i="5"/>
  <c r="AH33" i="5"/>
  <c r="AH45" i="5"/>
  <c r="J39" i="5"/>
  <c r="J47" i="5"/>
  <c r="AH39" i="5"/>
  <c r="J17" i="5"/>
  <c r="AH17" i="5"/>
  <c r="AH27" i="5"/>
  <c r="AH23" i="5"/>
  <c r="J11" i="5"/>
</calcChain>
</file>

<file path=xl/sharedStrings.xml><?xml version="1.0" encoding="utf-8"?>
<sst xmlns="http://schemas.openxmlformats.org/spreadsheetml/2006/main" count="2791" uniqueCount="819">
  <si>
    <t>Drug Name</t>
  </si>
  <si>
    <t>Amount</t>
  </si>
  <si>
    <t>Amount per mL</t>
  </si>
  <si>
    <t>Min Dose</t>
  </si>
  <si>
    <t>Ketamine Prefilled Syringe</t>
  </si>
  <si>
    <t>Volume (mL)</t>
  </si>
  <si>
    <t>Units</t>
  </si>
  <si>
    <t>mg</t>
  </si>
  <si>
    <t>micrograms</t>
  </si>
  <si>
    <t>Ampoule concentration</t>
  </si>
  <si>
    <t>Dose per kg</t>
  </si>
  <si>
    <t>Calculated Dose in mL</t>
  </si>
  <si>
    <t>Max Dose</t>
  </si>
  <si>
    <t>Range?</t>
  </si>
  <si>
    <t>Yes</t>
  </si>
  <si>
    <t>No</t>
  </si>
  <si>
    <t>Notes</t>
  </si>
  <si>
    <t>Lower and Upper dose (in mL)</t>
  </si>
  <si>
    <t>Enter Dose per Kg</t>
  </si>
  <si>
    <t>Enter Dose Limits</t>
  </si>
  <si>
    <t>Enter Ampoule Information</t>
  </si>
  <si>
    <t>Round
to dec.</t>
  </si>
  <si>
    <t>Glucose 10%</t>
  </si>
  <si>
    <t>Calcium Gluconate 10%</t>
  </si>
  <si>
    <t>ETT Size</t>
  </si>
  <si>
    <t>RSI</t>
  </si>
  <si>
    <t>Seizure</t>
  </si>
  <si>
    <t>Fluid Bolus</t>
  </si>
  <si>
    <t>3% Saline</t>
  </si>
  <si>
    <t>mL</t>
  </si>
  <si>
    <t>Calculated</t>
  </si>
  <si>
    <t>Bicarbonate 8.4%</t>
  </si>
  <si>
    <t>mmol</t>
  </si>
  <si>
    <t>Syringe Size</t>
  </si>
  <si>
    <t>Round upwards to nearest setting</t>
  </si>
  <si>
    <t>Years</t>
  </si>
  <si>
    <t>Months</t>
  </si>
  <si>
    <t xml:space="preserve"> (LARGE ampoule) into 10 mL normal saline</t>
  </si>
  <si>
    <t>Source</t>
  </si>
  <si>
    <t>Age</t>
  </si>
  <si>
    <t>Entered Years</t>
  </si>
  <si>
    <t>Formula</t>
  </si>
  <si>
    <t>(age in months + 9)/2</t>
  </si>
  <si>
    <t>1 to 5 years</t>
  </si>
  <si>
    <t>(age in years +5) x 2</t>
  </si>
  <si>
    <t>5 to 14 years</t>
  </si>
  <si>
    <t>(age in years x 4)</t>
  </si>
  <si>
    <t>Entered weight</t>
  </si>
  <si>
    <t>Using best-guess formula based on RCH study of 70,000 patients
https://dontforgetthebubbles.com/weight-estimation/</t>
  </si>
  <si>
    <t>&lt; 1 month</t>
  </si>
  <si>
    <t>1 month</t>
  </si>
  <si>
    <t>Weeks</t>
  </si>
  <si>
    <t>Repeat if required</t>
  </si>
  <si>
    <t>Hypotension and shock</t>
  </si>
  <si>
    <t>Estimated weight based on Age</t>
  </si>
  <si>
    <t>Working patient weight (kg):</t>
  </si>
  <si>
    <t>Entered Weeks</t>
  </si>
  <si>
    <t>Calculated Weeks</t>
  </si>
  <si>
    <t>Entered Months</t>
  </si>
  <si>
    <t>2 to 11 months</t>
  </si>
  <si>
    <t>Working weight</t>
  </si>
  <si>
    <t>This formulae will convert entered weeks to months, and entered months to years
The working weight is either (1) The actual entered weight or 
(2) calculated based on the patiens age using the best-guess formula by RCH</t>
  </si>
  <si>
    <t>Enter weight (kg)</t>
  </si>
  <si>
    <t>Or estimate weight
from child's age</t>
  </si>
  <si>
    <t>Notes top line</t>
  </si>
  <si>
    <t>Notes bottom line</t>
  </si>
  <si>
    <t>1:10,000 LARGE Ampoule</t>
  </si>
  <si>
    <t>for raised ICP or hyponatraemia</t>
  </si>
  <si>
    <t>Cardiac arrest</t>
  </si>
  <si>
    <t>Max dose</t>
  </si>
  <si>
    <t>Reversal agents</t>
  </si>
  <si>
    <t>Anaphylaxis</t>
  </si>
  <si>
    <t>Adrenaline IM (for anaphylaxis)</t>
  </si>
  <si>
    <t>Mannitol 20%</t>
  </si>
  <si>
    <t>gram</t>
  </si>
  <si>
    <t>Sugammadex (200mg/2mL)</t>
  </si>
  <si>
    <t>repeat every 2 minutes to effect</t>
  </si>
  <si>
    <t>Sepsis</t>
  </si>
  <si>
    <t>Dose to print</t>
  </si>
  <si>
    <t>Drug Subtext</t>
  </si>
  <si>
    <t xml:space="preserve">Enter dept name: </t>
  </si>
  <si>
    <t>Subscription status:</t>
  </si>
  <si>
    <t>Enter page heading:</t>
  </si>
  <si>
    <t>Into (mL)</t>
  </si>
  <si>
    <t>Dose Limits (units/kg/time)</t>
  </si>
  <si>
    <t>Clonidine</t>
  </si>
  <si>
    <t>Dexmedetomidine</t>
  </si>
  <si>
    <t>Midazolam</t>
  </si>
  <si>
    <t>Propofol</t>
  </si>
  <si>
    <t>1 ml/hr</t>
  </si>
  <si>
    <t>1 m/hr equivalent to</t>
  </si>
  <si>
    <t>Calculated infusion dose (in mL/hr)</t>
  </si>
  <si>
    <t>Lower and Upper dose (in mL/hr)</t>
  </si>
  <si>
    <t>Morphine</t>
  </si>
  <si>
    <t>Dopamine/Dobutamine</t>
  </si>
  <si>
    <t>Metaraminol</t>
  </si>
  <si>
    <t>Ketamine</t>
  </si>
  <si>
    <t>Milrinone</t>
  </si>
  <si>
    <t>Dilution Instructions (&lt;30kg)</t>
  </si>
  <si>
    <t>Enter Dose (units/kg/time) (&lt;30kg)</t>
  </si>
  <si>
    <t>Subtext to print</t>
  </si>
  <si>
    <t>Notes top line to print</t>
  </si>
  <si>
    <t>Notes Bottom line to print</t>
  </si>
  <si>
    <t>Data to print to resus sheet</t>
  </si>
  <si>
    <t>Data to be printed to resus sheet</t>
  </si>
  <si>
    <t>Entered login</t>
  </si>
  <si>
    <t>Trial</t>
  </si>
  <si>
    <t>Trial?</t>
  </si>
  <si>
    <t>Current month</t>
  </si>
  <si>
    <t>Tinysaurus Drug Calculator</t>
  </si>
  <si>
    <t>Expiry year</t>
  </si>
  <si>
    <t>Not yet past expiry year?</t>
  </si>
  <si>
    <t xml:space="preserve">Defibrillation (biphasic) </t>
  </si>
  <si>
    <t>Expiry month calculated from login</t>
  </si>
  <si>
    <t>Pin to unlock (new)</t>
  </si>
  <si>
    <t>Works out expiry date, and number of days from TODAY to the expiray date, in order to warn user 60 days before expiry</t>
  </si>
  <si>
    <t>Hide</t>
  </si>
  <si>
    <t>Not yet past expiry date?</t>
  </si>
  <si>
    <t>Is entered pin correct (Does it match the unlock pin)</t>
  </si>
  <si>
    <t>On</t>
  </si>
  <si>
    <t>bolus dose pressor for infants &lt; 6 months</t>
  </si>
  <si>
    <t>Amiodarone (150mg/3mL)</t>
  </si>
  <si>
    <t>Midazolam IV (15mg/3mL)</t>
  </si>
  <si>
    <t>Fentanyl (100mcg/2mL)</t>
  </si>
  <si>
    <t>Propofol (200mg/20mL)</t>
  </si>
  <si>
    <t>Rocuronium (50mg/5mL)</t>
  </si>
  <si>
    <t>Flumazenil (500mcg/5mL)</t>
  </si>
  <si>
    <t>Adenosine [1st dose] (6mg/2mL)</t>
  </si>
  <si>
    <t>Is entered weight outside range?</t>
  </si>
  <si>
    <t>Display warning message</t>
  </si>
  <si>
    <t>Detect if the entered age is discrepant with  estimated weight range (plus or minus 20%)</t>
  </si>
  <si>
    <t>Both weight and age fields not empty?</t>
  </si>
  <si>
    <t>Other calculations</t>
  </si>
  <si>
    <t>more than max dose?</t>
  </si>
  <si>
    <t>for bleeding</t>
  </si>
  <si>
    <t>https://starship.org.nz/guidelines/massive-transfusion-protocol/</t>
  </si>
  <si>
    <t>Red Blood Cells</t>
  </si>
  <si>
    <t>Fresh Frozen Plasma</t>
  </si>
  <si>
    <t>Cryoprecipitate</t>
  </si>
  <si>
    <t>Platelets</t>
  </si>
  <si>
    <t>https://www.clinicaldata.nzblood.co.nz/resourcefolder/plasmanew.php?dhbid=1</t>
  </si>
  <si>
    <t>in major bleeding aim PR &lt; 1.5, APTT &lt; 40</t>
  </si>
  <si>
    <t>in major bleeding aim fibrinogen &gt; 1 g/L</t>
  </si>
  <si>
    <t>in major bleeding aim platelets &gt; 75</t>
  </si>
  <si>
    <t>Enter Custom Heading 4</t>
  </si>
  <si>
    <t>Enter Custom Heading 7</t>
  </si>
  <si>
    <t>Enter Custom Heading 8</t>
  </si>
  <si>
    <t>Enter Custom Heading 6</t>
  </si>
  <si>
    <t>Enter Custom Heading 5</t>
  </si>
  <si>
    <t>Bleeding</t>
  </si>
  <si>
    <t>for neutropenic fever or sepsis</t>
  </si>
  <si>
    <t>Trauma</t>
  </si>
  <si>
    <t>Antibiotics</t>
  </si>
  <si>
    <t>Respiratory drugs</t>
  </si>
  <si>
    <t>Cardiac drugs</t>
  </si>
  <si>
    <t>Commonly used drugs</t>
  </si>
  <si>
    <t>Asthma</t>
  </si>
  <si>
    <t>Cefotaxime IV</t>
  </si>
  <si>
    <t>Cefuroxime IV</t>
  </si>
  <si>
    <t>Amoxicillin IV</t>
  </si>
  <si>
    <t>Vancomycin IV</t>
  </si>
  <si>
    <t>Clindamicin IV</t>
  </si>
  <si>
    <t>Tranexamic acid IV (500mg/5mL)</t>
  </si>
  <si>
    <t>Piperacillin/Tazobactam IV (Tazocin)</t>
  </si>
  <si>
    <t>Prednisolone PO</t>
  </si>
  <si>
    <t>Paracetamol (PO suspension)</t>
  </si>
  <si>
    <t>Ibuprofen (PO suspension)</t>
  </si>
  <si>
    <t>for asthma or wheeze</t>
  </si>
  <si>
    <t>Weight rounded to nearest 2kg</t>
  </si>
  <si>
    <t>PICU Cardiovascular Drug Infusion Chart for patients &gt; 30 kg</t>
  </si>
  <si>
    <t>Weight</t>
  </si>
  <si>
    <t>Total Infusion Volume</t>
  </si>
  <si>
    <t>Dopamine
Dobutamine</t>
  </si>
  <si>
    <t>Nitroprusside
GTN</t>
  </si>
  <si>
    <t>Adrenaline
Noradrenaline
Isoprenaline</t>
  </si>
  <si>
    <t>(Kg)</t>
  </si>
  <si>
    <t>(mL)</t>
  </si>
  <si>
    <t>1 ml/hr = X mcg/kg/minute</t>
  </si>
  <si>
    <t>Working weight (only if &gt;=30kg)</t>
  </si>
  <si>
    <t>Amounts based on weight (closest to 2kg)</t>
  </si>
  <si>
    <t>Instructions from Starship Document</t>
  </si>
  <si>
    <t>1. Look up patient's weight (to nearest 2kg) and ascertain total infusion volume</t>
  </si>
  <si>
    <t>2. Look up amount of drug and calculate the correct amount in mL</t>
  </si>
  <si>
    <t>3. Base fluid + drug volume = total infusion volume</t>
  </si>
  <si>
    <t>4. Label accurately</t>
  </si>
  <si>
    <t>5. At syringe changes, compare concentrations prior to preparing new infusin</t>
  </si>
  <si>
    <t>6. For patients &gt; 100kg, make up as for 100kg</t>
  </si>
  <si>
    <t>Weight range</t>
  </si>
  <si>
    <t>Yes/No</t>
  </si>
  <si>
    <t>Amounts</t>
  </si>
  <si>
    <t>1ml/hr</t>
  </si>
  <si>
    <t>Low</t>
  </si>
  <si>
    <t>to</t>
  </si>
  <si>
    <t xml:space="preserve">High </t>
  </si>
  <si>
    <t>Calculated dose (in mL/hr)</t>
  </si>
  <si>
    <t>Syringe size</t>
  </si>
  <si>
    <t>Notes topline to print</t>
  </si>
  <si>
    <t>Notes bottomline to print</t>
  </si>
  <si>
    <t>High</t>
  </si>
  <si>
    <t>Rounding</t>
  </si>
  <si>
    <t>Dilution instructions</t>
  </si>
  <si>
    <t>1 ml/hr equivalent to</t>
  </si>
  <si>
    <t>Enter Dose range (units/kg/time)</t>
  </si>
  <si>
    <t>Adrenaline/Noradrenaline (LOW DOSE)</t>
  </si>
  <si>
    <t>&lt;30kg</t>
  </si>
  <si>
    <t>Adrenaline/Noradrenaline (HIGH DOSE)</t>
  </si>
  <si>
    <t>&lt;10kg</t>
  </si>
  <si>
    <t>Vasopressin</t>
  </si>
  <si>
    <t>&gt;40kg</t>
  </si>
  <si>
    <t>Proastglandin E1</t>
  </si>
  <si>
    <t>Salbutamol</t>
  </si>
  <si>
    <t>&gt;16kg</t>
  </si>
  <si>
    <r>
      <rPr>
        <b/>
        <u/>
        <sz val="11"/>
        <color theme="1"/>
        <rFont val="Calibri (Body)"/>
      </rPr>
      <t>&gt;</t>
    </r>
    <r>
      <rPr>
        <b/>
        <sz val="11"/>
        <color theme="1"/>
        <rFont val="Calibri"/>
        <family val="2"/>
        <scheme val="minor"/>
      </rPr>
      <t>30kg</t>
    </r>
  </si>
  <si>
    <r>
      <rPr>
        <b/>
        <u/>
        <sz val="11"/>
        <color theme="1"/>
        <rFont val="Calibri (Body)"/>
      </rPr>
      <t>&gt;</t>
    </r>
    <r>
      <rPr>
        <b/>
        <sz val="11"/>
        <color theme="1"/>
        <rFont val="Calibri"/>
        <family val="2"/>
        <scheme val="minor"/>
      </rPr>
      <t>10kg</t>
    </r>
  </si>
  <si>
    <r>
      <rPr>
        <b/>
        <u/>
        <sz val="11"/>
        <color theme="1"/>
        <rFont val="Calibri (Body)"/>
      </rPr>
      <t>&lt;</t>
    </r>
    <r>
      <rPr>
        <b/>
        <sz val="11"/>
        <color theme="1"/>
        <rFont val="Calibri"/>
        <family val="2"/>
        <scheme val="minor"/>
      </rPr>
      <t>16kg</t>
    </r>
  </si>
  <si>
    <t>Into volume (mL)</t>
  </si>
  <si>
    <t>units</t>
  </si>
  <si>
    <t>unit/hour</t>
  </si>
  <si>
    <t>mg/hour</t>
  </si>
  <si>
    <t>units/kg/hour</t>
  </si>
  <si>
    <t>All</t>
  </si>
  <si>
    <t>Not weight standardised OR per HOUR</t>
  </si>
  <si>
    <t>Not weight standardised, Fixed infusion dose</t>
  </si>
  <si>
    <t>Starship Drug infusions &lt; 30 kg</t>
  </si>
  <si>
    <t>Infusions</t>
  </si>
  <si>
    <t>Starship Drug infusions &lt; 30 kg. Dose range differs and reflects previous Starship calculator</t>
  </si>
  <si>
    <t>mg/kg/hour</t>
  </si>
  <si>
    <t>micrograms/kg/hour</t>
  </si>
  <si>
    <r>
      <rPr>
        <b/>
        <u/>
        <sz val="11"/>
        <color theme="1"/>
        <rFont val="Calibri (Body)"/>
      </rPr>
      <t>&lt;</t>
    </r>
    <r>
      <rPr>
        <b/>
        <sz val="11"/>
        <color theme="1"/>
        <rFont val="Calibri"/>
        <family val="2"/>
        <scheme val="minor"/>
      </rPr>
      <t xml:space="preserve"> 10kg</t>
    </r>
  </si>
  <si>
    <t>@5 - 15 micrograms/kg/min</t>
  </si>
  <si>
    <r>
      <t>10-</t>
    </r>
    <r>
      <rPr>
        <b/>
        <u/>
        <sz val="11"/>
        <color theme="1"/>
        <rFont val="Calibri (Body)"/>
      </rPr>
      <t>40</t>
    </r>
    <r>
      <rPr>
        <b/>
        <sz val="11"/>
        <color theme="1"/>
        <rFont val="Calibri"/>
        <family val="2"/>
        <scheme val="minor"/>
      </rPr>
      <t>kg</t>
    </r>
  </si>
  <si>
    <t>Age in Years (For Amionophylline)</t>
  </si>
  <si>
    <r>
      <t xml:space="preserve">Age </t>
    </r>
    <r>
      <rPr>
        <b/>
        <u/>
        <sz val="11"/>
        <color theme="1"/>
        <rFont val="Calibri (Body)"/>
      </rPr>
      <t>&gt;</t>
    </r>
    <r>
      <rPr>
        <b/>
        <sz val="11"/>
        <color theme="1"/>
        <rFont val="Calibri"/>
        <family val="2"/>
        <scheme val="minor"/>
      </rPr>
      <t xml:space="preserve">10, </t>
    </r>
    <r>
      <rPr>
        <b/>
        <u/>
        <sz val="11"/>
        <color theme="1"/>
        <rFont val="Calibri (Body)"/>
      </rPr>
      <t>&lt;</t>
    </r>
    <r>
      <rPr>
        <b/>
        <sz val="11"/>
        <color theme="1"/>
        <rFont val="Calibri"/>
        <family val="2"/>
        <scheme val="minor"/>
      </rPr>
      <t>35kg</t>
    </r>
  </si>
  <si>
    <r>
      <t>Age</t>
    </r>
    <r>
      <rPr>
        <b/>
        <u/>
        <sz val="11"/>
        <color theme="1"/>
        <rFont val="Calibri (Body)"/>
      </rPr>
      <t xml:space="preserve"> &gt;</t>
    </r>
    <r>
      <rPr>
        <b/>
        <sz val="11"/>
        <color theme="1"/>
        <rFont val="Calibri"/>
        <family val="2"/>
        <scheme val="minor"/>
      </rPr>
      <t>10, &gt;35kg</t>
    </r>
  </si>
  <si>
    <t>Age 1-9, &lt;23kg</t>
  </si>
  <si>
    <r>
      <t xml:space="preserve">Age 1-9, </t>
    </r>
    <r>
      <rPr>
        <b/>
        <u/>
        <sz val="11"/>
        <color theme="1"/>
        <rFont val="Calibri (Body)"/>
      </rPr>
      <t>&gt;</t>
    </r>
    <r>
      <rPr>
        <b/>
        <sz val="11"/>
        <color theme="1"/>
        <rFont val="Calibri"/>
        <family val="2"/>
        <scheme val="minor"/>
      </rPr>
      <t>23kg</t>
    </r>
  </si>
  <si>
    <t>https://starship.org.nz/guidelines/asthma-life-threatening/</t>
  </si>
  <si>
    <t>https://nzfchildren.org.nz/nzfc_3838</t>
  </si>
  <si>
    <t>https://nzfchildren.org.nz/nzfc_3846</t>
  </si>
  <si>
    <t>https://nzfchildren.org.nz/nzfc_1908</t>
  </si>
  <si>
    <t>Aminophylline (Infusion)</t>
  </si>
  <si>
    <t>Salbutamol (Infusion)</t>
  </si>
  <si>
    <t>Morphine (Infusion)</t>
  </si>
  <si>
    <t>Midazolam (Infusion)</t>
  </si>
  <si>
    <t>Clonidine (Infusion)</t>
  </si>
  <si>
    <t>Ketamine (Infusion)</t>
  </si>
  <si>
    <t>Metaraminol (Infusion)</t>
  </si>
  <si>
    <t>Vasopressin (Infusion)</t>
  </si>
  <si>
    <t>Propofol (Infusion)</t>
  </si>
  <si>
    <t>Dexmedetomidine (Infusion)</t>
  </si>
  <si>
    <t>Chloral Hydrate PO</t>
  </si>
  <si>
    <t>https://starship.org.nz/guidelines/picu-analgesia-and-sedation-algorithm-0-12-months-unintubated</t>
  </si>
  <si>
    <t>for sedation in monitored area only</t>
  </si>
  <si>
    <t>Gentamicin IV</t>
  </si>
  <si>
    <t>Milrinone (Infusion)</t>
  </si>
  <si>
    <t>Dopamine/Dobutamine (Infusion)</t>
  </si>
  <si>
    <t>Midazolam IM (15mg/3mL)</t>
  </si>
  <si>
    <t>https://starship.org.nz/guidelines/massive-transfusion-protocol/. Shand</t>
  </si>
  <si>
    <t xml:space="preserve">Both Age and weight entered? </t>
  </si>
  <si>
    <t>Massive Heamorrhage Pathway</t>
  </si>
  <si>
    <t>Frusemide</t>
  </si>
  <si>
    <t>&lt;20 kg</t>
  </si>
  <si>
    <r>
      <rPr>
        <b/>
        <u/>
        <sz val="11"/>
        <color theme="1"/>
        <rFont val="Calibri (Body)"/>
      </rPr>
      <t>&gt;</t>
    </r>
    <r>
      <rPr>
        <b/>
        <sz val="11"/>
        <color theme="1"/>
        <rFont val="Calibri"/>
        <family val="2"/>
        <scheme val="minor"/>
      </rPr>
      <t xml:space="preserve"> 20kg</t>
    </r>
  </si>
  <si>
    <t>Actrapid Insulin</t>
  </si>
  <si>
    <t>Esmolol</t>
  </si>
  <si>
    <t>Heparin (Low dose infusion)</t>
  </si>
  <si>
    <t>Frusemide (Infusion)</t>
  </si>
  <si>
    <t>Actrapid insulin (Infusion)</t>
  </si>
  <si>
    <t>Esmolol (Infusion)</t>
  </si>
  <si>
    <t>&gt;50 Kg</t>
  </si>
  <si>
    <t>Isoprenaline</t>
  </si>
  <si>
    <t>Isoprenaline (Infusion)</t>
  </si>
  <si>
    <t>Note</t>
  </si>
  <si>
    <t>1 month old</t>
  </si>
  <si>
    <t>Lowest calc weight</t>
  </si>
  <si>
    <t>Highest calc weight</t>
  </si>
  <si>
    <t>none</t>
  </si>
  <si>
    <t>months = (2 x weight - 9)</t>
  </si>
  <si>
    <t>years = (weight/2) - 5</t>
  </si>
  <si>
    <t>Estimated months from weight</t>
  </si>
  <si>
    <t>Estimated years from weight</t>
  </si>
  <si>
    <t>&lt; 1 month (neonate)</t>
  </si>
  <si>
    <t>for intubation, not analgesia</t>
  </si>
  <si>
    <t>Calcium Gluconate 10% (pressor)</t>
  </si>
  <si>
    <t>Prostaglandin E1 (Infusion)</t>
  </si>
  <si>
    <t>Raised ICP</t>
  </si>
  <si>
    <t>for raised ICP or hyponatraemic seizure</t>
  </si>
  <si>
    <t>https://nzfchildren.org.nz/nzfc_6999</t>
  </si>
  <si>
    <t>(100mg/10mL)</t>
  </si>
  <si>
    <t>Hydrocortisone IV (for wheeze)</t>
  </si>
  <si>
    <t>Maintenance Fluid calculator</t>
  </si>
  <si>
    <t>0 to 10 kg</t>
  </si>
  <si>
    <t>11 to 20 kg</t>
  </si>
  <si>
    <t>&gt; 21 kg</t>
  </si>
  <si>
    <t>&gt; 60 kg</t>
  </si>
  <si>
    <t>Weight x 4</t>
  </si>
  <si>
    <t>(2 x weight) + 20</t>
  </si>
  <si>
    <t>1 ml/kg (Adult)</t>
  </si>
  <si>
    <t>Calculated voulme (ml/hr)</t>
  </si>
  <si>
    <t>70% of volume (ml/hr)</t>
  </si>
  <si>
    <t>Weight + 40</t>
  </si>
  <si>
    <t>ETT calculator</t>
  </si>
  <si>
    <t>ETT Range</t>
  </si>
  <si>
    <t>Oral Depth</t>
  </si>
  <si>
    <t>Nasal Depth</t>
  </si>
  <si>
    <t>Neonate</t>
  </si>
  <si>
    <t>6 months</t>
  </si>
  <si>
    <t>Working age</t>
  </si>
  <si>
    <t>2.5 - 3.5</t>
  </si>
  <si>
    <t>3.0 - 4.0</t>
  </si>
  <si>
    <t>3.5 - 4.5</t>
  </si>
  <si>
    <t>4.0 - 5.0</t>
  </si>
  <si>
    <t>4.5 - 5.5</t>
  </si>
  <si>
    <t>5.0 - 6.0</t>
  </si>
  <si>
    <t>5.5 - 6.5</t>
  </si>
  <si>
    <t>6.0 - 7.0</t>
  </si>
  <si>
    <t>6.5 - 7.5</t>
  </si>
  <si>
    <t>7.0 - 8.0</t>
  </si>
  <si>
    <t>Do not use</t>
  </si>
  <si>
    <t>Prem</t>
  </si>
  <si>
    <t xml:space="preserve">Working months </t>
  </si>
  <si>
    <t>Working years</t>
  </si>
  <si>
    <t>In Years</t>
  </si>
  <si>
    <t>Maintenance Fluid (MMH ICU)</t>
  </si>
  <si>
    <t>Maintenance Fluid (for Wards)</t>
  </si>
  <si>
    <t>Maintenance Fluid (for ICUs)</t>
  </si>
  <si>
    <t>cuffed tube</t>
  </si>
  <si>
    <t>at 70% of full maintenance rate</t>
  </si>
  <si>
    <t>Signature:</t>
  </si>
  <si>
    <t>Name:</t>
  </si>
  <si>
    <t>weight checked and appropriate for age</t>
  </si>
  <si>
    <t>Fluids</t>
  </si>
  <si>
    <t>https://nzfchildren.org.nz/nzfc_2646</t>
  </si>
  <si>
    <t>Status Epilepticus</t>
  </si>
  <si>
    <t>Augmentin IV</t>
  </si>
  <si>
    <t>Caffeine Citrate IV or PO</t>
  </si>
  <si>
    <t>Estimated Weight (from entered age)</t>
  </si>
  <si>
    <t>Calculated Years (from entered months)</t>
  </si>
  <si>
    <t>Calculated Months (from entered weeks)</t>
  </si>
  <si>
    <t>for neonatal apnoeas</t>
  </si>
  <si>
    <t>https://nzfchildren.org.nz/nzfc_1728</t>
  </si>
  <si>
    <t>https://nzfchildren.org.nz/nzfc_1762</t>
  </si>
  <si>
    <t>Lorazepam IV (2mg/1mL)</t>
  </si>
  <si>
    <t>Naloxone (400mcg/1mL)</t>
  </si>
  <si>
    <t>https://nzfchildren.org.nz/nzfc_3840</t>
  </si>
  <si>
    <t>https://starship.org.nz/guidelines/pain-analgesia-overview/</t>
  </si>
  <si>
    <t>Magnesium Sulphate 50%</t>
  </si>
  <si>
    <t>Adenosine [2nd dose] (6mg/2mL)</t>
  </si>
  <si>
    <t>Adenosine [3rd dose] (6mg/2mL)</t>
  </si>
  <si>
    <t>Only if eGFR &gt; 50. Use ideal body weight</t>
  </si>
  <si>
    <t>https://starship.org.nz/guidelines/aminoglycosides/</t>
  </si>
  <si>
    <t>Middlemore Critical Care Complex</t>
  </si>
  <si>
    <t>LMA Classic</t>
  </si>
  <si>
    <t>Size</t>
  </si>
  <si>
    <t>LMA Size</t>
  </si>
  <si>
    <t>&lt;5 kg</t>
  </si>
  <si>
    <t>5 - 10 kg</t>
  </si>
  <si>
    <t>10 - 20 kg</t>
  </si>
  <si>
    <t>20 - 30kg</t>
  </si>
  <si>
    <t>30 - 50kg</t>
  </si>
  <si>
    <t>50 - 70kg</t>
  </si>
  <si>
    <t>70 - 100kg</t>
  </si>
  <si>
    <t>Max cuff volume</t>
  </si>
  <si>
    <t>Air-Q</t>
  </si>
  <si>
    <t>70 - 100 kg</t>
  </si>
  <si>
    <t>&lt;7 kg</t>
  </si>
  <si>
    <t>50 -70 kg</t>
  </si>
  <si>
    <t>7 - 17 kg</t>
  </si>
  <si>
    <t>17 - 30 kg</t>
  </si>
  <si>
    <t>30 - 50 kg</t>
  </si>
  <si>
    <t>Air-Q3</t>
  </si>
  <si>
    <t>2 - 4 kg</t>
  </si>
  <si>
    <t>4 - 7 kg</t>
  </si>
  <si>
    <t>30 - 60 kg</t>
  </si>
  <si>
    <t>60 - 80 kg</t>
  </si>
  <si>
    <t>&gt; 80 kg</t>
  </si>
  <si>
    <t>&lt;2 kg</t>
  </si>
  <si>
    <t>iGel</t>
  </si>
  <si>
    <t>2 - 5 kg</t>
  </si>
  <si>
    <t>60 - 90 kg</t>
  </si>
  <si>
    <t>LMA Size (Classic)</t>
  </si>
  <si>
    <t>LMA Size (Air-Q3)</t>
  </si>
  <si>
    <t>LMA Size (iGel)</t>
  </si>
  <si>
    <t>Dilute 1 mL of 1:10,000 Adrenaline</t>
  </si>
  <si>
    <t>(LARGE ampoule) into 10 mL normal saline</t>
  </si>
  <si>
    <t>1:100,000 dilution (=10 mcg/1mL)</t>
  </si>
  <si>
    <t>units/hour</t>
  </si>
  <si>
    <r>
      <rPr>
        <b/>
        <u/>
        <sz val="11"/>
        <color theme="1"/>
        <rFont val="Calibri (Body)"/>
      </rPr>
      <t>&lt;</t>
    </r>
    <r>
      <rPr>
        <b/>
        <sz val="11"/>
        <color theme="1"/>
        <rFont val="Calibri"/>
        <family val="2"/>
        <scheme val="minor"/>
      </rPr>
      <t>50 Kg</t>
    </r>
  </si>
  <si>
    <t>Starship Drug infusions &lt; 30 kg and SHAND</t>
  </si>
  <si>
    <t>https://starship.org.nz/guidelines/heparin-low-dose-therapy-in-children/</t>
  </si>
  <si>
    <t>Flucloxacillin IV</t>
  </si>
  <si>
    <t>Atropine (600mcg/1mL)</t>
  </si>
  <si>
    <t>https://nzfchildren.org.nz/nzfc_3012</t>
  </si>
  <si>
    <t>Body surface area estimation from weight</t>
  </si>
  <si>
    <t>From chemotherapy standarisation group 2008 and DFTB</t>
  </si>
  <si>
    <t>https://dontforgetthebubbles.com/quick-reference/body-surface-area/</t>
  </si>
  <si>
    <t>Weight (Kg)</t>
  </si>
  <si>
    <t>BSA (m2)</t>
  </si>
  <si>
    <t>Weight used for BSA estimation</t>
  </si>
  <si>
    <t>Estimated BSA for this child</t>
  </si>
  <si>
    <t>Body Surface Area</t>
  </si>
  <si>
    <t>estimated from weight</t>
  </si>
  <si>
    <t>Phone Numbers</t>
  </si>
  <si>
    <t>Headings</t>
  </si>
  <si>
    <t>Equipment and BSA</t>
  </si>
  <si>
    <t>Drugs</t>
  </si>
  <si>
    <t>This is an ESTIMATED BSA for use in</t>
  </si>
  <si>
    <t>Aciclovir Dose</t>
  </si>
  <si>
    <t>Dose</t>
  </si>
  <si>
    <t>&lt; 3 months</t>
  </si>
  <si>
    <t>20 mg/kg</t>
  </si>
  <si>
    <t>10 mg/kg</t>
  </si>
  <si>
    <t>Estimated BSA (table above)</t>
  </si>
  <si>
    <t>Dose with max limit</t>
  </si>
  <si>
    <t>Aciclovir IV</t>
  </si>
  <si>
    <t>Age &lt; 1 year</t>
  </si>
  <si>
    <r>
      <rPr>
        <u/>
        <sz val="11"/>
        <color theme="1"/>
        <rFont val="Calibri (Body)"/>
      </rPr>
      <t>&gt;</t>
    </r>
    <r>
      <rPr>
        <sz val="11"/>
        <color theme="1"/>
        <rFont val="Calibri"/>
        <family val="2"/>
        <scheme val="minor"/>
      </rPr>
      <t xml:space="preserve"> 12 years</t>
    </r>
  </si>
  <si>
    <t>500 mg/m2</t>
  </si>
  <si>
    <t>emergencies. From Sharkey et al, 2001</t>
  </si>
  <si>
    <t>Operator</t>
  </si>
  <si>
    <t>Blood Bank</t>
  </si>
  <si>
    <t>ICU</t>
  </si>
  <si>
    <t>Paediatrics</t>
  </si>
  <si>
    <t>NICU</t>
  </si>
  <si>
    <t>ED SMO</t>
  </si>
  <si>
    <t>Custom Phone 1</t>
  </si>
  <si>
    <t>Custom Phone 2</t>
  </si>
  <si>
    <t>Custom Phone 3</t>
  </si>
  <si>
    <t>Custom Phone 4</t>
  </si>
  <si>
    <t>Phone number</t>
  </si>
  <si>
    <t>Anaesthetics</t>
  </si>
  <si>
    <t>Surgeon</t>
  </si>
  <si>
    <t>Phone numbers</t>
  </si>
  <si>
    <t>How to customise this app</t>
  </si>
  <si>
    <t>Terms of use</t>
  </si>
  <si>
    <t>Limitation of liability</t>
  </si>
  <si>
    <t>Adenosine [all doses] (6mg/2mL)</t>
  </si>
  <si>
    <t>for supraventricular tachycardia</t>
  </si>
  <si>
    <t>Dilute 10 mg ampoule into 100 mL bag of</t>
  </si>
  <si>
    <t>(10mmol/5mL)</t>
  </si>
  <si>
    <t>Metronidazole IV</t>
  </si>
  <si>
    <t>Amiodarone (central infusion)</t>
  </si>
  <si>
    <t>Amiodarone (periph infusion)</t>
  </si>
  <si>
    <t>Amiodarone (central)</t>
  </si>
  <si>
    <t>Amiodarone (peripheral)</t>
  </si>
  <si>
    <t>do not use if shocked</t>
  </si>
  <si>
    <t>https://starship.org.nz/guidelines/amiodarone-for-use-in-paediatric-cardiology/</t>
  </si>
  <si>
    <t>GTN/SNP/Nicardipine</t>
  </si>
  <si>
    <t>GTN/SNP/Nicardipine (Infusion)</t>
  </si>
  <si>
    <t>Drug Infusions</t>
  </si>
  <si>
    <t>HEADINGS</t>
  </si>
  <si>
    <t>PHONE NUMBERS</t>
  </si>
  <si>
    <t>-----------------------------</t>
  </si>
  <si>
    <t>------------------------------</t>
  </si>
  <si>
    <r>
      <t xml:space="preserve">
</t>
    </r>
    <r>
      <rPr>
        <b/>
        <sz val="11"/>
        <color theme="1"/>
        <rFont val="Calibri"/>
        <family val="2"/>
        <scheme val="minor"/>
      </rPr>
      <t>NOTES ON USE OF THIS PAGE</t>
    </r>
    <r>
      <rPr>
        <sz val="11"/>
        <color theme="1"/>
        <rFont val="Calibri"/>
        <family val="2"/>
        <scheme val="minor"/>
      </rPr>
      <t xml:space="preserve">
</t>
    </r>
    <r>
      <rPr>
        <b/>
        <sz val="11"/>
        <color theme="1"/>
        <rFont val="Calibri"/>
        <family val="2"/>
        <scheme val="minor"/>
      </rPr>
      <t>Drugs, infusions and equipment</t>
    </r>
    <r>
      <rPr>
        <sz val="11"/>
        <color theme="1"/>
        <rFont val="Calibri"/>
        <family val="2"/>
        <scheme val="minor"/>
      </rPr>
      <t xml:space="preserve">
These are "coped and pasted" from the Formulary column B
Once they have been pasted, use Home tab &gt; Sort and Filter &gt; A-Z sorting to arrange alphabetically
This field wont automatically update, so if you add in new items (drugs, infusions or equipment), you will need to manually enter it. 
Do this by finding the alphabetical location of the new item in column B on the left, and then "insert new row". Then type in the name of the new item
</t>
    </r>
    <r>
      <rPr>
        <b/>
        <sz val="11"/>
        <color theme="1"/>
        <rFont val="Calibri"/>
        <family val="2"/>
        <scheme val="minor"/>
      </rPr>
      <t xml:space="preserve">Headings and Phone Numbers
</t>
    </r>
    <r>
      <rPr>
        <sz val="11"/>
        <color theme="1"/>
        <rFont val="Calibri"/>
        <family val="2"/>
        <scheme val="minor"/>
      </rPr>
      <t xml:space="preserve">These will automatically update from the formulary page
This allows the items to change when the "custom headings" and custom phone numbers are changed by the user. 
</t>
    </r>
    <r>
      <rPr>
        <b/>
        <sz val="11"/>
        <color theme="1"/>
        <rFont val="Calibri"/>
        <family val="2"/>
        <scheme val="minor"/>
      </rPr>
      <t>Notes on the sperators -------------</t>
    </r>
    <r>
      <rPr>
        <sz val="11"/>
        <color theme="1"/>
        <rFont val="Calibri"/>
        <family val="2"/>
        <scheme val="minor"/>
      </rPr>
      <t xml:space="preserve">
These have been copied into the formulary worksheet, under "headings"
The reason for this, is that if the user selects the seperator "-----" in the drop down list, the front worksheet will format it as a heading, rather than create a formating error.
Note that the two seperators "----" are differ by one dash, to prevent Excel from removing duplicates from the drop down lists</t>
    </r>
  </si>
  <si>
    <t>https://starship.org.nz/guidelines/cardiopulmonary-arrest/</t>
  </si>
  <si>
    <t>https://nzfchildren.org.nz/nzfc_6931</t>
  </si>
  <si>
    <t>https://starship.org.nz/guidelines/hyperkalemia-in-children/</t>
  </si>
  <si>
    <t>https://starship.org.nz/guidelines/hypoglycaemia-in-childhood/</t>
  </si>
  <si>
    <t xml:space="preserve">Queensland CREDD guiudelines and Monash Paediatric Emergency Medicine Book </t>
  </si>
  <si>
    <t>Monash Paediatric Emergency Medicine Book and PCH Paediatric Emergency Calculator.</t>
  </si>
  <si>
    <t>Starship PICU common practice</t>
  </si>
  <si>
    <t>https://starship.org.nz/guidelines/convulsions-status-epilepticus/</t>
  </si>
  <si>
    <t>https://nzfchildren.org.nz/nzfc_2214</t>
  </si>
  <si>
    <t>https://starship.org.nz/guidelines/head-injury-raised-intracranial-pressure-management-in-picu/</t>
  </si>
  <si>
    <t>https://starship.org.nz/guidelines/anaphylaxis/</t>
  </si>
  <si>
    <t>https://starship.org.nz/guidelines/tachyarrhythmia-in-infants-and-children/</t>
  </si>
  <si>
    <t>https://nzfchildren.org.nz/nzfc_3032</t>
  </si>
  <si>
    <t>https://nzfchildren.org.nz/nzfc_3068</t>
  </si>
  <si>
    <t>Ceftriaxone IV or IM</t>
  </si>
  <si>
    <t>https://nzfchildren.org.nz/nzfc_3078</t>
  </si>
  <si>
    <t>https://nzfchildren.org.nz/nzfc_3080</t>
  </si>
  <si>
    <t>https://nzfchildren.org.nz/nzfc_3025</t>
  </si>
  <si>
    <t>https://nzfchildren.org.nz/nzfc_3040</t>
  </si>
  <si>
    <t>https://starship.org.nz/guidelines/vancomycin/</t>
  </si>
  <si>
    <t>https://nzfchildren.org.nz/nzfc_3165</t>
  </si>
  <si>
    <t>https://nzfchildren.org.nz/nzfc_3436</t>
  </si>
  <si>
    <t>https://nzfchildren.org.nz/nzfc_3264</t>
  </si>
  <si>
    <t>https://starship.org.nz/guidelines/intravenous-fluids/</t>
  </si>
  <si>
    <t>https://starship.org.nz/guidelines/iv-fluids-in-picu/</t>
  </si>
  <si>
    <t>https://starship.org.nz/guidelines/asthma-life-threatening-management-in-intensive-care-setting</t>
  </si>
  <si>
    <t>mg/mL</t>
  </si>
  <si>
    <t>https://starship.org.nz/guidelines/spinal-cord-injury-assessment-and-acute-management/</t>
  </si>
  <si>
    <t>&lt;12 years</t>
  </si>
  <si>
    <t>&gt;12 years</t>
  </si>
  <si>
    <t>This software and all related intellectual property remain the property of the author. No part of this software can be copied, reproduced, modified, reverse-engineered or distributed by the user or any other third-party without the explicit permission from the author. This software is protected by law under the New Zealand Copyright Act 1994.
A subsciption or trial licence grants the user permission to use this software only, it does not confer ownership of any kind. The user may use this software during the purchased subscription or trial period only. Licences may not be shared, sold or transferred between individuals, departments or any party. The author reserves the right to revoke a licence at any time.</t>
  </si>
  <si>
    <t>Normal Vital Signs (NZ PEWS)</t>
  </si>
  <si>
    <t>in years</t>
  </si>
  <si>
    <t>Systolic</t>
  </si>
  <si>
    <t>HR</t>
  </si>
  <si>
    <t>RR</t>
  </si>
  <si>
    <t>0 - 11 months</t>
  </si>
  <si>
    <t>110 - 160</t>
  </si>
  <si>
    <t>90 - 140</t>
  </si>
  <si>
    <t>80 - 130</t>
  </si>
  <si>
    <t>65 - 110</t>
  </si>
  <si>
    <t>30 - 50</t>
  </si>
  <si>
    <t>20 - 40</t>
  </si>
  <si>
    <t>20 - 30</t>
  </si>
  <si>
    <t>15 - 25</t>
  </si>
  <si>
    <r>
      <rPr>
        <u/>
        <sz val="11"/>
        <color theme="1"/>
        <rFont val="Calibri (Body)"/>
      </rPr>
      <t>5</t>
    </r>
    <r>
      <rPr>
        <sz val="11"/>
        <color theme="1"/>
        <rFont val="Calibri"/>
        <family val="2"/>
        <scheme val="minor"/>
      </rPr>
      <t xml:space="preserve"> - 11 years</t>
    </r>
  </si>
  <si>
    <r>
      <rPr>
        <u/>
        <sz val="11"/>
        <color theme="1"/>
        <rFont val="Calibri (Body)"/>
      </rPr>
      <t>1</t>
    </r>
    <r>
      <rPr>
        <sz val="11"/>
        <color theme="1"/>
        <rFont val="Calibri"/>
        <family val="2"/>
        <scheme val="minor"/>
      </rPr>
      <t xml:space="preserve"> - 4 years</t>
    </r>
  </si>
  <si>
    <t>Normal Heart Rate</t>
  </si>
  <si>
    <t>Normal Resp Rate</t>
  </si>
  <si>
    <t>Normal Systolic BP</t>
  </si>
  <si>
    <t>Based on age range</t>
  </si>
  <si>
    <t>75 - 100 mmHg</t>
  </si>
  <si>
    <t>90 - 110 mmHg</t>
  </si>
  <si>
    <t>90 - 120 mmHg</t>
  </si>
  <si>
    <t>100 - 135 mmHg</t>
  </si>
  <si>
    <t>for child aged &gt; 12 years</t>
  </si>
  <si>
    <t>Not designed for this size</t>
  </si>
  <si>
    <t>Normal Vital Signs</t>
  </si>
  <si>
    <t>Estimate Age, from weight</t>
  </si>
  <si>
    <t>Lower value for est age (-20%)</t>
  </si>
  <si>
    <t>Higher value for est age (+20%)</t>
  </si>
  <si>
    <t>Estimate weight, from age</t>
  </si>
  <si>
    <t>Formula to predict age</t>
  </si>
  <si>
    <t>3 months</t>
  </si>
  <si>
    <t>Drop down list for admin page</t>
  </si>
  <si>
    <t>Final working age (in years)</t>
  </si>
  <si>
    <t>If actual age entered, use those, otherwise use estimated age</t>
  </si>
  <si>
    <t>Uses formulae below to work out estimated age from entered weight</t>
  </si>
  <si>
    <t>Age been entered?</t>
  </si>
  <si>
    <t>Formulary</t>
  </si>
  <si>
    <t>Age entered from front calculator sheet</t>
  </si>
  <si>
    <t>https://starship.org.nz/guidelines/anaesthesia-introduction-to-anaesthetic-drugs</t>
  </si>
  <si>
    <t>https://www.rch.org.au/clinicalguide/guideline_index/Analgesia_and_sedation/</t>
  </si>
  <si>
    <t>repeat every 60 seconds to effect</t>
  </si>
  <si>
    <t>Queensland CREDDS</t>
  </si>
  <si>
    <t>Expiry date:</t>
  </si>
  <si>
    <t>for hyperkalaemia or hypocalcaemia</t>
  </si>
  <si>
    <t>LMA Size (Air-Q)</t>
  </si>
  <si>
    <t>The user accepts all liability related to the use of this software, and accepts full responsibility for its safe clinical use including dose checking and safe prescribing. This software is intended to be used as a resource in emergency situations. Local or national clinical guidelines should always supersede the information produced by this software and should be preferentially used when able. 
Before using this software, we advise users to check that all information and medication doses are accurate, appropriate for the patient weight and age (actual or estimated) and compatible with local practice. Furthermore, we advise users to obtain consent from any relevant departmental, hospital or organisational medicines and/or safety committees, as well as obtain local pharmacy review and approval before use.
The author and Tinysaurus are not liable or responsible, either directly or indirectly through the use of this software, for any patient adverse event, harm or injury up to and including death.
Furthermore, the author is not liable or responsible for:
• Any electronic, data, software or operating system corruption, or any information technology or hardware damage, directly or indirectly related to the installation of this software or its use.
• Any financial loss, directly or indirectly related to installation of this software or its use.
• Any breech of patient confidentiality or breech of patient rights (as outlined by the HDC code of rights), directly or indirectly related to the installation of this software or its use.</t>
  </si>
  <si>
    <t>Maintenance Fluid (Renal)</t>
  </si>
  <si>
    <t>PLUS add urine output and other losses</t>
  </si>
  <si>
    <t>10 - 12 kg</t>
  </si>
  <si>
    <t>12 - 25 kg</t>
  </si>
  <si>
    <t>25 - 30 kg</t>
  </si>
  <si>
    <t>30 - 35 kg</t>
  </si>
  <si>
    <t>35 - 50 kg</t>
  </si>
  <si>
    <t>50 - 60 kg</t>
  </si>
  <si>
    <t>90 + kg</t>
  </si>
  <si>
    <t>1.5 or 2</t>
  </si>
  <si>
    <t>2.5 or 3</t>
  </si>
  <si>
    <t>3 or 4</t>
  </si>
  <si>
    <t>0.9% Saline, Plasmalyte or 5% Albumin</t>
  </si>
  <si>
    <t>Pancuronium (4mg/2mL)</t>
  </si>
  <si>
    <t>Ketamine Ampoule (200mg/2mL)</t>
  </si>
  <si>
    <t>Heparin (Full therapeutic anticoagulation)</t>
  </si>
  <si>
    <r>
      <t xml:space="preserve">Age &gt;1 yr, </t>
    </r>
    <r>
      <rPr>
        <b/>
        <u/>
        <sz val="11"/>
        <color theme="1"/>
        <rFont val="Calibri (Body)"/>
      </rPr>
      <t>&lt;</t>
    </r>
    <r>
      <rPr>
        <b/>
        <sz val="11"/>
        <color theme="1"/>
        <rFont val="Calibri"/>
        <family val="2"/>
        <scheme val="minor"/>
      </rPr>
      <t>30kg</t>
    </r>
  </si>
  <si>
    <r>
      <t>Age</t>
    </r>
    <r>
      <rPr>
        <b/>
        <sz val="11"/>
        <color theme="1"/>
        <rFont val="Calibri (Body)"/>
      </rPr>
      <t xml:space="preserve"> </t>
    </r>
    <r>
      <rPr>
        <b/>
        <u/>
        <sz val="11"/>
        <color theme="1"/>
        <rFont val="Calibri (Body)"/>
      </rPr>
      <t>&lt;</t>
    </r>
    <r>
      <rPr>
        <b/>
        <sz val="11"/>
        <color theme="1"/>
        <rFont val="Calibri"/>
        <family val="2"/>
        <scheme val="minor"/>
      </rPr>
      <t xml:space="preserve"> 1 year</t>
    </r>
  </si>
  <si>
    <t>https://starship.org.nz/guidelines/heparin-infusion/</t>
  </si>
  <si>
    <t>Labetolol (undiluted)</t>
  </si>
  <si>
    <t>Shand. NOT YET DEPLOYED</t>
  </si>
  <si>
    <t>https://starship.org.nz/guidelines/anticoagulation-for-paediatric-ecmo/</t>
  </si>
  <si>
    <r>
      <t xml:space="preserve">Age &gt;1 yr, </t>
    </r>
    <r>
      <rPr>
        <b/>
        <u/>
        <sz val="11"/>
        <color theme="1"/>
        <rFont val="Calibri (Body)"/>
      </rPr>
      <t>&gt;</t>
    </r>
    <r>
      <rPr>
        <b/>
        <sz val="11"/>
        <color theme="1"/>
        <rFont val="Calibri"/>
        <family val="2"/>
        <scheme val="minor"/>
      </rPr>
      <t>80kg</t>
    </r>
  </si>
  <si>
    <r>
      <t xml:space="preserve">Age &gt;1 yr, </t>
    </r>
    <r>
      <rPr>
        <b/>
        <sz val="11"/>
        <color theme="1"/>
        <rFont val="Calibri (Body)"/>
      </rPr>
      <t>&gt;8</t>
    </r>
    <r>
      <rPr>
        <b/>
        <sz val="11"/>
        <color theme="1"/>
        <rFont val="Calibri"/>
        <family val="2"/>
        <scheme val="minor"/>
      </rPr>
      <t>0kg</t>
    </r>
  </si>
  <si>
    <t>Not designed for patients &gt; 80kg</t>
  </si>
  <si>
    <t>due to high infusion rate</t>
  </si>
  <si>
    <r>
      <rPr>
        <u/>
        <sz val="11"/>
        <color theme="1"/>
        <rFont val="Calibri (Body)"/>
      </rPr>
      <t>3</t>
    </r>
    <r>
      <rPr>
        <sz val="11"/>
        <color theme="1"/>
        <rFont val="Calibri"/>
        <family val="2"/>
        <scheme val="minor"/>
      </rPr>
      <t xml:space="preserve"> months - 12 years</t>
    </r>
  </si>
  <si>
    <t>Calcium Gluconate 10% (Infusion)</t>
  </si>
  <si>
    <t>mmol/hour</t>
  </si>
  <si>
    <t>https://starship.org.nz/guidelines/cardiac-inotrope-use-paediatric/</t>
  </si>
  <si>
    <t>Glidescope Blade Size</t>
  </si>
  <si>
    <t>Print</t>
  </si>
  <si>
    <t>1.5 - 3.8 kg</t>
  </si>
  <si>
    <t>3.8 - 10 kg</t>
  </si>
  <si>
    <t>10 - 28 kg</t>
  </si>
  <si>
    <t>28 - 40 kg</t>
  </si>
  <si>
    <t>40 + kg</t>
  </si>
  <si>
    <t>LoPro S3</t>
  </si>
  <si>
    <t>Glidescope Size</t>
  </si>
  <si>
    <t>0 - 6 months</t>
  </si>
  <si>
    <t>6 - 12 months</t>
  </si>
  <si>
    <t>1 - 2 years</t>
  </si>
  <si>
    <t>2 - 10 years</t>
  </si>
  <si>
    <t>10 - 15 years</t>
  </si>
  <si>
    <t>Laryngoscope Size (Direct/CMAC)</t>
  </si>
  <si>
    <t>Laryngoscope (Direct/CMAC)</t>
  </si>
  <si>
    <t>LoPro S2 (or Miller S1)</t>
  </si>
  <si>
    <t>LoPro S1 (or Miller S0)</t>
  </si>
  <si>
    <t>Miller 0 (or Mac 0)</t>
  </si>
  <si>
    <t>Miller 1 (or Mac 1)</t>
  </si>
  <si>
    <t>Mac 1 (or Miller 1)</t>
  </si>
  <si>
    <t>Mac 2</t>
  </si>
  <si>
    <t>Mac 3 or 4</t>
  </si>
  <si>
    <t>LoPro S2.5 (or S3)</t>
  </si>
  <si>
    <t>LoPro S3 (or S4)</t>
  </si>
  <si>
    <t>Hex</t>
  </si>
  <si>
    <t>S</t>
  </si>
  <si>
    <t>C</t>
  </si>
  <si>
    <t>R</t>
  </si>
  <si>
    <t>H</t>
  </si>
  <si>
    <t>E</t>
  </si>
  <si>
    <t>J</t>
  </si>
  <si>
    <t>Z</t>
  </si>
  <si>
    <t>L</t>
  </si>
  <si>
    <t>V</t>
  </si>
  <si>
    <t>P</t>
  </si>
  <si>
    <t>Entered Pin (as number)</t>
  </si>
  <si>
    <t>Entered Pin (as hex)</t>
  </si>
  <si>
    <t>Midazolam IV (5mg/5mL)</t>
  </si>
  <si>
    <t>Display row shading</t>
  </si>
  <si>
    <t>Display heading colour</t>
  </si>
  <si>
    <t>Infusion colour shading</t>
  </si>
  <si>
    <t>Enter Custom Heading 1</t>
  </si>
  <si>
    <t>Enter Custom Heading 2</t>
  </si>
  <si>
    <t>Enter Custom Heading 3</t>
  </si>
  <si>
    <t>Bold medication names</t>
  </si>
  <si>
    <t>Off</t>
  </si>
  <si>
    <t>Salbutamol IV Bolus (500mcg/1mL)</t>
  </si>
  <si>
    <t>Aminophylline Load (250mg/10mL)</t>
  </si>
  <si>
    <t>Metaraminol (dilute bolus)</t>
  </si>
  <si>
    <t>Calcium Gluconate 10% (bleeding)</t>
  </si>
  <si>
    <t>Configuration Name</t>
  </si>
  <si>
    <t>Department name</t>
  </si>
  <si>
    <t>Default heading</t>
  </si>
  <si>
    <t>Departmental Configurations</t>
  </si>
  <si>
    <t>Middlemore ICU</t>
  </si>
  <si>
    <t>Configuration:</t>
  </si>
  <si>
    <t>DeptList Dropdown List</t>
  </si>
  <si>
    <t>Middlemore ICU Paediatric Resuscitation Drugs</t>
  </si>
  <si>
    <t>Default ED</t>
  </si>
  <si>
    <t>Default Ward</t>
  </si>
  <si>
    <t>Jurassic Hospital Emergency Department</t>
  </si>
  <si>
    <t>Jurassic Hospital PICU</t>
  </si>
  <si>
    <t>Jurassic Hospital Children's Ward</t>
  </si>
  <si>
    <t>Custom Heading 2</t>
  </si>
  <si>
    <t>Custom Heading 3</t>
  </si>
  <si>
    <t>Custom Heading 4</t>
  </si>
  <si>
    <t>Custom Heading 5</t>
  </si>
  <si>
    <t>Custom Heading 6</t>
  </si>
  <si>
    <t>Custom Heading 7</t>
  </si>
  <si>
    <t>Custom Heading 8</t>
  </si>
  <si>
    <t>Phone 1</t>
  </si>
  <si>
    <t>Phone 2</t>
  </si>
  <si>
    <t>Phone 3</t>
  </si>
  <si>
    <t>Phone 4</t>
  </si>
  <si>
    <t>Phone 5</t>
  </si>
  <si>
    <t>Phone 6</t>
  </si>
  <si>
    <t>Phone 7</t>
  </si>
  <si>
    <t>Phone 8</t>
  </si>
  <si>
    <t>Phone 9</t>
  </si>
  <si>
    <t>Phone 10</t>
  </si>
  <si>
    <t>Phone 11</t>
  </si>
  <si>
    <t>Phone 12</t>
  </si>
  <si>
    <t>Phone 13</t>
  </si>
  <si>
    <t>Number 1</t>
  </si>
  <si>
    <t>Number 2</t>
  </si>
  <si>
    <t>Number 3</t>
  </si>
  <si>
    <t>Number 4</t>
  </si>
  <si>
    <t>Number 5</t>
  </si>
  <si>
    <t>Number 6</t>
  </si>
  <si>
    <t>Number 7</t>
  </si>
  <si>
    <t>Number 8</t>
  </si>
  <si>
    <t>Number 9</t>
  </si>
  <si>
    <t>Number 10</t>
  </si>
  <si>
    <t>Number 11</t>
  </si>
  <si>
    <t>Number 12</t>
  </si>
  <si>
    <t>Number 13</t>
  </si>
  <si>
    <t>Row Shading</t>
  </si>
  <si>
    <t>Heading Colour</t>
  </si>
  <si>
    <t>Infusion Colour</t>
  </si>
  <si>
    <t>Custom Heading 1</t>
  </si>
  <si>
    <t>Inotropes and Cardiac</t>
  </si>
  <si>
    <t>Sedation</t>
  </si>
  <si>
    <t>Other Infusions</t>
  </si>
  <si>
    <t>Departmental Code</t>
  </si>
  <si>
    <t>Entered Login</t>
  </si>
  <si>
    <t>Departmental Code from Login</t>
  </si>
  <si>
    <t>Subscription Activated</t>
  </si>
  <si>
    <t>TRIAL</t>
  </si>
  <si>
    <t>Jurassic Hospital Cardiology Ward</t>
  </si>
  <si>
    <t>Jurassic Hospital Children's Heart Ward</t>
  </si>
  <si>
    <t>Cardiac infusions</t>
  </si>
  <si>
    <t>for child aged 1 - 4 years</t>
  </si>
  <si>
    <t>for child aged 5 - 11 years</t>
  </si>
  <si>
    <t>for child aged 0 - 11 months</t>
  </si>
  <si>
    <t>Cardiac Surgeon</t>
  </si>
  <si>
    <t>Cardiac Anaesthetist</t>
  </si>
  <si>
    <t>PICU</t>
  </si>
  <si>
    <t>Bronchospasm</t>
  </si>
  <si>
    <t>Equipment</t>
  </si>
  <si>
    <t>must dilute before use</t>
  </si>
  <si>
    <t>0 (PURPLE)</t>
  </si>
  <si>
    <t>0.5 (PINK)</t>
  </si>
  <si>
    <t>1 (BLUE)</t>
  </si>
  <si>
    <t>1.5 (GREEN)</t>
  </si>
  <si>
    <t>2 (ORANGE)</t>
  </si>
  <si>
    <t>3 (YELLOW)</t>
  </si>
  <si>
    <t>4 (RED)</t>
  </si>
  <si>
    <t>5 (PURPLE)</t>
  </si>
  <si>
    <t>0 - 0.5 mL</t>
  </si>
  <si>
    <t>0.5 - 1 mL</t>
  </si>
  <si>
    <t>1 mL</t>
  </si>
  <si>
    <t>1 - 2 mL</t>
  </si>
  <si>
    <t>2 - 3 mL</t>
  </si>
  <si>
    <t>3 - 4 mL</t>
  </si>
  <si>
    <t>4 - 5 mL</t>
  </si>
  <si>
    <t>Intubating ETT size</t>
  </si>
  <si>
    <t>3.5 mm</t>
  </si>
  <si>
    <t>4.5 mm</t>
  </si>
  <si>
    <t>5.5 mm</t>
  </si>
  <si>
    <t>7.0 mm</t>
  </si>
  <si>
    <t>8.0 mm</t>
  </si>
  <si>
    <t>9.0 mm</t>
  </si>
  <si>
    <t>5.0 mm</t>
  </si>
  <si>
    <t>3.0 mm</t>
  </si>
  <si>
    <t>ORL/ENT</t>
  </si>
  <si>
    <t>879 453</t>
  </si>
  <si>
    <t>879 632</t>
  </si>
  <si>
    <t>879 569</t>
  </si>
  <si>
    <r>
      <t xml:space="preserve">Named Array: </t>
    </r>
    <r>
      <rPr>
        <b/>
        <sz val="14"/>
        <color theme="1"/>
        <rFont val="Calibri"/>
        <family val="2"/>
        <scheme val="minor"/>
      </rPr>
      <t>ConfigDefault</t>
    </r>
  </si>
  <si>
    <r>
      <t xml:space="preserve">Named Array: </t>
    </r>
    <r>
      <rPr>
        <b/>
        <sz val="14"/>
        <color theme="1"/>
        <rFont val="Calibri"/>
        <family val="2"/>
        <scheme val="minor"/>
      </rPr>
      <t>ConfigDept</t>
    </r>
  </si>
  <si>
    <t>Number</t>
  </si>
  <si>
    <t>Calculated Dose</t>
  </si>
  <si>
    <t>Lower and Upper dose</t>
  </si>
  <si>
    <t>Suxamethonium IV (100mg/2mL)</t>
  </si>
  <si>
    <t>Suxamethonium IM (100mg/2mL)</t>
  </si>
  <si>
    <t>Adrenaline Neb (for croup/stridor)</t>
  </si>
  <si>
    <t>https://starship.org.nz/guidelines/croup/</t>
  </si>
  <si>
    <t>1:1000 SMALL ampoule</t>
  </si>
  <si>
    <t>if no IV access</t>
  </si>
  <si>
    <t>years = (weight/4)</t>
  </si>
  <si>
    <t>(2.5mg/0.5mg in 1mL)</t>
  </si>
  <si>
    <t>Neostigmine + Glycopyrronium</t>
  </si>
  <si>
    <t>Ondansetron IV (4mg/2mL)</t>
  </si>
  <si>
    <t>Cyclizine IV (50mg/1mL)</t>
  </si>
  <si>
    <t>https://nzfchildren.org.nz/nzfc_2359</t>
  </si>
  <si>
    <t>Metoclopramide IV (10mg/2mL)</t>
  </si>
  <si>
    <t>https://nzfchildren.org.nz/nzfc_2384</t>
  </si>
  <si>
    <t>Droperidol (2.5mg/1mL)</t>
  </si>
  <si>
    <t>https://starship.org.nz/guidelines/paediatric-postoperative-vomiting-prophylaxis-and-treatment/</t>
  </si>
  <si>
    <t>Dexamethasone (for croup/stridor)</t>
  </si>
  <si>
    <t>can be given PO or IV</t>
  </si>
  <si>
    <t>Paediatric Anaesthetic Crisis Drugs</t>
  </si>
  <si>
    <t>Laryngospasm</t>
  </si>
  <si>
    <t>Salbutamol MDI (100mcg/puff)</t>
  </si>
  <si>
    <t>6 puffs inhaled</t>
  </si>
  <si>
    <t>If life-threatening give continuously</t>
  </si>
  <si>
    <t>If severe, give three doses back-to-back</t>
  </si>
  <si>
    <t>Salbutamol Neb (5mg/2.5mL)</t>
  </si>
  <si>
    <t>Ipratropium MDI (20mcg/puff)</t>
  </si>
  <si>
    <t>4 puffs inhaled</t>
  </si>
  <si>
    <t>Ipratropium Neb (250mcg/1mL)</t>
  </si>
  <si>
    <t>https://nzfchildren.org.nz/nzfc_1748</t>
  </si>
  <si>
    <t>Hydrocortisone IV (for shock)</t>
  </si>
  <si>
    <t>250 micrograms NEBULISED</t>
  </si>
  <si>
    <t>5 mg NEBULISED</t>
  </si>
  <si>
    <t>Adrenaline IV (for cardiac arrest)</t>
  </si>
  <si>
    <t>Adrenaline IV (dilute bolus)</t>
  </si>
  <si>
    <t>Dexamethasone IV (for PONV)</t>
  </si>
  <si>
    <t>(4mg/1mL)</t>
  </si>
  <si>
    <t>Adrenaline/Noradrenaline (Low dose)</t>
  </si>
  <si>
    <t>Adrenaline/Noradrenaline (High dose)</t>
  </si>
  <si>
    <t>Affix patient sticker here</t>
  </si>
  <si>
    <t>Post extubation stridor</t>
  </si>
  <si>
    <t>Ondansetron PO</t>
  </si>
  <si>
    <t>https://nzfchildren.org.nz/nzfc_2392</t>
  </si>
  <si>
    <t>https://nzfchildren.org.nz/nzfc_7009, Advice from John Burnett</t>
  </si>
  <si>
    <t>oral disintegrating tablet or wafer</t>
  </si>
  <si>
    <t>Neostigmine (2.5mg/1mL)</t>
  </si>
  <si>
    <t>Atracurium (50mg/5mL)</t>
  </si>
  <si>
    <t>Vecuronium (10mg powder)</t>
  </si>
  <si>
    <t>Cefazolin IV</t>
  </si>
  <si>
    <t>https://nzfchildren.org.nz/nzfc_3062</t>
  </si>
  <si>
    <t>Not recommended at this age</t>
  </si>
  <si>
    <t>&gt;2.5kg</t>
  </si>
  <si>
    <t>Phenytoin IV (250mg/5mL) [in mL]</t>
  </si>
  <si>
    <t>Adrenaline IV (dilute bolus) [PICU]</t>
  </si>
  <si>
    <t>Rocuronium (50mg/5mL) [WGTN]</t>
  </si>
  <si>
    <t>Fluid Bolus [PICU]</t>
  </si>
  <si>
    <t>Phenytoin IV [in mg]</t>
  </si>
  <si>
    <t>Levetiracetam IV [in mg]</t>
  </si>
  <si>
    <t>Levetiracetam IV (500mg/5mL) [in mL]</t>
  </si>
  <si>
    <t>Starship PICU</t>
  </si>
  <si>
    <t>Hutt ED</t>
  </si>
  <si>
    <t>Phenobarbitone IV (200mg/1mL)</t>
  </si>
  <si>
    <t>Phenobarbitone IV [in mg]</t>
  </si>
  <si>
    <t>Phenytoin IV (250mg/5mL)</t>
  </si>
  <si>
    <t>Levetiracetam IV (500mg/5mL)</t>
  </si>
  <si>
    <t>Sodium Valproate IV [in mg]</t>
  </si>
  <si>
    <t>Sodium Valproate IV (100mg/1mL)</t>
  </si>
  <si>
    <t>EXTND62904002</t>
  </si>
  <si>
    <t>PSESS</t>
  </si>
  <si>
    <t>Anaesthetic Crisis</t>
  </si>
  <si>
    <t>Wellington Hospital</t>
  </si>
  <si>
    <t>Starship PICU Resuscitation Drugs</t>
  </si>
  <si>
    <t>Other infusions</t>
  </si>
  <si>
    <t xml:space="preserve"> ** Use 0.2 micron filter **</t>
  </si>
  <si>
    <t>** Use 0.2 micron filter **</t>
  </si>
  <si>
    <t>Custom</t>
  </si>
  <si>
    <t>Wellington Hospital Paediatric Emergency Drugs</t>
  </si>
  <si>
    <t>Other Drugs</t>
  </si>
  <si>
    <t>Hutt Emergency Department</t>
  </si>
  <si>
    <t>Hutt ED Paediatric Emergency Drugs</t>
  </si>
  <si>
    <t>(100mg/2mL)</t>
  </si>
  <si>
    <t>Display and functionality settings</t>
  </si>
  <si>
    <t>Show max doses</t>
  </si>
  <si>
    <t xml:space="preserve">Created by Dr Pras Mao, Adult and Paediatric Intensivist, Auckland NZ    
Copyright 2025. Release version 1.3 (August 2025)    </t>
  </si>
  <si>
    <t>Bold Medication Names</t>
  </si>
  <si>
    <t>Other drugs</t>
  </si>
  <si>
    <t>Allow config selection</t>
  </si>
  <si>
    <t>Phenytoin IV (250mg/5mL) [MMH]</t>
  </si>
  <si>
    <t>Enter custom headings</t>
  </si>
  <si>
    <t>Enter custom phone numbers</t>
  </si>
  <si>
    <t>Customise page 1</t>
  </si>
  <si>
    <t>Customise page 2</t>
  </si>
  <si>
    <t>Enter login:</t>
  </si>
  <si>
    <t>Enter pin:</t>
  </si>
  <si>
    <t>Amiodarone (central loading) **not in droplist**</t>
  </si>
  <si>
    <t>Amiodarone (peripheral infusion)</t>
  </si>
  <si>
    <t>Heparin (Full anticoagulation) **not in droplist**</t>
  </si>
  <si>
    <t>Default PICU</t>
  </si>
  <si>
    <t>PICU Paediatric Resuscitation Drugs</t>
  </si>
  <si>
    <t>ED Paediatric Resuscitation Drugs</t>
  </si>
  <si>
    <t>Children's Ward Resuscitation Drugs</t>
  </si>
  <si>
    <r>
      <rPr>
        <b/>
        <sz val="10"/>
        <color theme="1"/>
        <rFont val="Arial"/>
        <family val="2"/>
      </rPr>
      <t>ACTIVATE APP</t>
    </r>
    <r>
      <rPr>
        <sz val="10"/>
        <color theme="1"/>
        <rFont val="Arial"/>
        <family val="2"/>
      </rPr>
      <t xml:space="preserve">
• [Enter login]: Enter your unique login
• [Enter pin]: Enter your pin to activate 
</t>
    </r>
    <r>
      <rPr>
        <b/>
        <sz val="10"/>
        <color theme="1"/>
        <rFont val="Arial"/>
        <family val="2"/>
      </rPr>
      <t>CONFIGURATION</t>
    </r>
    <r>
      <rPr>
        <sz val="10"/>
        <color theme="1"/>
        <rFont val="Arial"/>
        <family val="2"/>
      </rPr>
      <t xml:space="preserve">
• The current configuration as selected on the front page
• If you would like your department's configuration included in the calculator, please contact us below
</t>
    </r>
    <r>
      <rPr>
        <b/>
        <sz val="10"/>
        <color theme="1"/>
        <rFont val="Arial"/>
        <family val="2"/>
      </rPr>
      <t>CUSTOMISING HEADINGS:</t>
    </r>
    <r>
      <rPr>
        <sz val="10"/>
        <color theme="1"/>
        <rFont val="Arial"/>
        <family val="2"/>
      </rPr>
      <t xml:space="preserve">
• [Enter dept name]: Change department name on front page
• [Enter page heading]: Change heading at top of resus sheet
</t>
    </r>
    <r>
      <rPr>
        <b/>
        <sz val="10"/>
        <color theme="1"/>
        <rFont val="Arial"/>
        <family val="2"/>
      </rPr>
      <t>TURN PAGES ON OR OFF</t>
    </r>
    <r>
      <rPr>
        <sz val="10"/>
        <color theme="1"/>
        <rFont val="Arial"/>
        <family val="2"/>
      </rPr>
      <t xml:space="preserve">
• Each page can be individually turned on or off.
</t>
    </r>
    <r>
      <rPr>
        <b/>
        <sz val="10"/>
        <color theme="1"/>
        <rFont val="Arial"/>
        <family val="2"/>
      </rPr>
      <t>CUSTOMISING DRUG LISTS</t>
    </r>
    <r>
      <rPr>
        <sz val="10"/>
        <color theme="1"/>
        <rFont val="Arial"/>
        <family val="2"/>
      </rPr>
      <t xml:space="preserve">
• Each page has 23 customisable “slots” which you can fill with your choice of drugs, infusions, headings or phone numbers
• Select the item you would like by selecting the slot and then using the drop-down list. Drugs and infusions are listed in alphabetical order. Headings and phone numbers located at the bottom of the list.
• To clear an item from a slot, select it and press DELETE
• Leaving a slot empty will create a space on that row
</t>
    </r>
    <r>
      <rPr>
        <i/>
        <sz val="10"/>
        <color theme="1"/>
        <rFont val="Arial"/>
        <family val="2"/>
      </rPr>
      <t xml:space="preserve">• </t>
    </r>
    <r>
      <rPr>
        <sz val="10"/>
        <color rgb="FFC00000"/>
        <rFont val="Arial"/>
        <family val="2"/>
      </rPr>
      <t>Customised items are coloured red. These customised items will remain in their slots even if the configuration is changed.</t>
    </r>
    <r>
      <rPr>
        <sz val="10"/>
        <color theme="1"/>
        <rFont val="Arial"/>
        <family val="2"/>
      </rPr>
      <t xml:space="preserve">
</t>
    </r>
    <r>
      <rPr>
        <b/>
        <sz val="10"/>
        <color theme="1"/>
        <rFont val="Arial"/>
        <family val="2"/>
      </rPr>
      <t>SPECIAL ITEMS</t>
    </r>
    <r>
      <rPr>
        <sz val="10"/>
        <color theme="1"/>
        <rFont val="Arial"/>
        <family val="2"/>
      </rPr>
      <t xml:space="preserve">
• [Body Surface Area]: For BSA estimated from weight
• [Maintenance fluid]: For IV maintenance fluid rate and fluid preparation. Choose from ICU or ward fluid prescriptions.
• [Signature]: Creates a signature box
• [Normal HR,RR,BP]: Normal vital signs per NZPEWS
</t>
    </r>
    <r>
      <rPr>
        <b/>
        <sz val="10"/>
        <color theme="1"/>
        <rFont val="Arial"/>
        <family val="2"/>
      </rPr>
      <t>DISPLAY SETTINGS</t>
    </r>
    <r>
      <rPr>
        <sz val="10"/>
        <color theme="1"/>
        <rFont val="Arial"/>
        <family val="2"/>
      </rPr>
      <t xml:space="preserve">
• [Display row shading]: Turns alternate row shading on/off
• [Display heading colour]: Turn heading colours on/off
• [Infusion colour shading]: Makes infusions shading purple
• [Bold medication names]: Makes medication names bold
• [Show max doses]: Shows/hides maximum doses for drugs
</t>
    </r>
    <r>
      <rPr>
        <b/>
        <sz val="10"/>
        <color theme="1"/>
        <rFont val="Arial"/>
        <family val="2"/>
      </rPr>
      <t>ALLOW CONFIG SELECTION</t>
    </r>
    <r>
      <rPr>
        <sz val="10"/>
        <color theme="1"/>
        <rFont val="Arial"/>
        <family val="2"/>
      </rPr>
      <t xml:space="preserve">
• Allow users to select and change configurations on the front page of the calculator. Turning this setting to "off" will lock the calculator in the current chosen configuration.
</t>
    </r>
    <r>
      <rPr>
        <b/>
        <sz val="10"/>
        <color theme="1"/>
        <rFont val="Arial"/>
        <family val="2"/>
      </rPr>
      <t>CUSTOM HEADINGS</t>
    </r>
    <r>
      <rPr>
        <sz val="10"/>
        <color theme="1"/>
        <rFont val="Arial"/>
        <family val="2"/>
      </rPr>
      <t xml:space="preserve">
• You can create your own custom headings
• Simply type your custom heading into the yellow slots (e.g. “sedation”). These become selectable in the drop-down lists
</t>
    </r>
    <r>
      <rPr>
        <b/>
        <sz val="10"/>
        <color theme="1"/>
        <rFont val="Arial"/>
        <family val="2"/>
      </rPr>
      <t>CUSTOM PHONE NUMBERS</t>
    </r>
    <r>
      <rPr>
        <sz val="10"/>
        <color theme="1"/>
        <rFont val="Arial"/>
        <family val="2"/>
      </rPr>
      <t xml:space="preserve">
• You can rename all the people on the list of phone numbers
• Enter the number or extension for each person
• Custom contacts are selectable in the drop-down lists
</t>
    </r>
    <r>
      <rPr>
        <b/>
        <sz val="10"/>
        <color theme="1"/>
        <rFont val="Arial"/>
        <family val="2"/>
      </rPr>
      <t>SUBSCRIPTION</t>
    </r>
    <r>
      <rPr>
        <sz val="10"/>
        <color theme="1"/>
        <rFont val="Arial"/>
        <family val="2"/>
      </rPr>
      <t xml:space="preserve">
• If you have purchased a subscription, the app will notify you 60 days from the expiry date. The calculator will not be usable after expiry.
</t>
    </r>
    <r>
      <rPr>
        <b/>
        <sz val="10"/>
        <color theme="1"/>
        <rFont val="Arial"/>
        <family val="2"/>
      </rPr>
      <t>CONTACT</t>
    </r>
    <r>
      <rPr>
        <sz val="10"/>
        <color theme="1"/>
        <rFont val="Arial"/>
        <family val="2"/>
      </rPr>
      <t xml:space="preserve">
For any problems, suggestions or feedback, contact us via website: Tinysaurus.co.nz or email: TinysaurusNZ@gmail.com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</si>
</sst>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6"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6"/>
      <color theme="1"/>
      <name val="Calibri"/>
      <family val="2"/>
      <scheme val="minor"/>
    </font>
    <font>
      <sz val="12"/>
      <color theme="1"/>
      <name val="Arial"/>
      <family val="2"/>
    </font>
    <font>
      <sz val="11"/>
      <color theme="1"/>
      <name val="Arial"/>
      <family val="2"/>
    </font>
    <font>
      <b/>
      <sz val="12"/>
      <color theme="1"/>
      <name val="Arial"/>
      <family val="2"/>
    </font>
    <font>
      <sz val="22"/>
      <color theme="1"/>
      <name val="Calibri"/>
      <family val="2"/>
      <scheme val="minor"/>
    </font>
    <font>
      <sz val="9"/>
      <color theme="1"/>
      <name val="Arial"/>
      <family val="2"/>
    </font>
    <font>
      <u/>
      <sz val="11"/>
      <color theme="10"/>
      <name val="Calibri"/>
      <family val="2"/>
      <scheme val="minor"/>
    </font>
    <font>
      <sz val="14"/>
      <color theme="1"/>
      <name val="Arial"/>
      <family val="2"/>
    </font>
    <font>
      <i/>
      <sz val="11"/>
      <color rgb="FFFF0000"/>
      <name val="Calibri"/>
      <family val="2"/>
      <scheme val="minor"/>
    </font>
    <font>
      <sz val="11"/>
      <color theme="1"/>
      <name val="Calibri Light"/>
      <family val="2"/>
      <scheme val="major"/>
    </font>
    <font>
      <sz val="12"/>
      <color theme="1"/>
      <name val="Calibri Light"/>
      <family val="2"/>
      <scheme val="major"/>
    </font>
    <font>
      <b/>
      <sz val="14"/>
      <color theme="1"/>
      <name val="Arial"/>
      <family val="2"/>
    </font>
    <font>
      <sz val="22"/>
      <color theme="1"/>
      <name val="Arial"/>
      <family val="2"/>
    </font>
    <font>
      <sz val="11"/>
      <color theme="0"/>
      <name val="Calibri"/>
      <family val="2"/>
      <scheme val="minor"/>
    </font>
    <font>
      <b/>
      <sz val="12"/>
      <color theme="0"/>
      <name val="Arial"/>
      <family val="2"/>
    </font>
    <font>
      <sz val="14"/>
      <color theme="0"/>
      <name val="Calibri"/>
      <family val="2"/>
      <scheme val="minor"/>
    </font>
    <font>
      <sz val="11"/>
      <color theme="0" tint="-0.499984740745262"/>
      <name val="Calibri Light"/>
      <family val="2"/>
      <scheme val="major"/>
    </font>
    <font>
      <b/>
      <sz val="16"/>
      <color theme="1"/>
      <name val="Calibri"/>
      <family val="2"/>
      <scheme val="minor"/>
    </font>
    <font>
      <sz val="11"/>
      <color rgb="FFFF0000"/>
      <name val="Calibri Light"/>
      <family val="2"/>
      <scheme val="major"/>
    </font>
    <font>
      <sz val="14"/>
      <color theme="1"/>
      <name val="Calibri"/>
      <family val="2"/>
      <scheme val="minor"/>
    </font>
    <font>
      <b/>
      <sz val="14"/>
      <color theme="1"/>
      <name val="Calibri"/>
      <family val="2"/>
      <scheme val="minor"/>
    </font>
    <font>
      <b/>
      <u/>
      <sz val="11"/>
      <color theme="1"/>
      <name val="Calibri (Body)"/>
    </font>
    <font>
      <sz val="22"/>
      <color theme="0"/>
      <name val="Calibri"/>
      <family val="2"/>
      <scheme val="minor"/>
    </font>
    <font>
      <sz val="14"/>
      <color rgb="FFFF0000"/>
      <name val="Arial"/>
      <family val="2"/>
    </font>
    <font>
      <sz val="11"/>
      <color rgb="FFFF0000"/>
      <name val="Arial"/>
      <family val="2"/>
    </font>
    <font>
      <u/>
      <sz val="11"/>
      <color theme="1"/>
      <name val="Calibri (Body)"/>
    </font>
    <font>
      <sz val="11"/>
      <color theme="0" tint="-0.499984740745262"/>
      <name val="Arial"/>
      <family val="2"/>
    </font>
    <font>
      <sz val="11"/>
      <color theme="0" tint="-0.499984740745262"/>
      <name val="Calibri"/>
      <family val="2"/>
      <scheme val="minor"/>
    </font>
    <font>
      <b/>
      <sz val="22"/>
      <color theme="1"/>
      <name val="Arial"/>
      <family val="2"/>
    </font>
    <font>
      <b/>
      <sz val="18"/>
      <color theme="1"/>
      <name val="Arial"/>
      <family val="2"/>
    </font>
    <font>
      <sz val="22"/>
      <color rgb="FF0070C0"/>
      <name val="Arial"/>
      <family val="2"/>
    </font>
    <font>
      <sz val="20"/>
      <color theme="1"/>
      <name val="Arial"/>
      <family val="2"/>
    </font>
    <font>
      <sz val="10"/>
      <color theme="1"/>
      <name val="Arial"/>
      <family val="2"/>
    </font>
    <font>
      <b/>
      <sz val="10"/>
      <color theme="1"/>
      <name val="Arial"/>
      <family val="2"/>
    </font>
    <font>
      <sz val="11"/>
      <color theme="1"/>
      <name val="Calibri"/>
      <family val="2"/>
      <scheme val="minor"/>
    </font>
    <font>
      <sz val="10"/>
      <color theme="0" tint="-4.9989318521683403E-2"/>
      <name val="Arial"/>
      <family val="2"/>
    </font>
    <font>
      <b/>
      <sz val="11"/>
      <color theme="1"/>
      <name val="Calibri (Body)"/>
    </font>
    <font>
      <sz val="10"/>
      <color theme="0"/>
      <name val="Arial"/>
      <family val="2"/>
    </font>
    <font>
      <sz val="12"/>
      <color theme="0"/>
      <name val="Arial"/>
      <family val="2"/>
    </font>
    <font>
      <sz val="20"/>
      <color theme="1"/>
      <name val="Century Gothic"/>
      <family val="1"/>
    </font>
    <font>
      <b/>
      <sz val="14"/>
      <color theme="1"/>
      <name val="Century Gothic"/>
      <family val="1"/>
    </font>
    <font>
      <sz val="12"/>
      <color theme="1"/>
      <name val="Century Gothic"/>
      <family val="1"/>
    </font>
    <font>
      <sz val="11"/>
      <color theme="1"/>
      <name val="Century Gothic"/>
      <family val="1"/>
    </font>
    <font>
      <sz val="22"/>
      <color theme="4" tint="-0.249977111117893"/>
      <name val="Century Gothic"/>
      <family val="1"/>
    </font>
    <font>
      <b/>
      <sz val="12"/>
      <color theme="1"/>
      <name val="Calibri"/>
      <family val="2"/>
      <scheme val="minor"/>
    </font>
    <font>
      <sz val="10"/>
      <color theme="0" tint="-0.499984740745262"/>
      <name val="Arial"/>
      <family val="2"/>
    </font>
    <font>
      <sz val="14"/>
      <color theme="0" tint="-0.499984740745262"/>
      <name val="Century Gothic"/>
      <family val="1"/>
    </font>
    <font>
      <sz val="12"/>
      <name val="Arial"/>
      <family val="2"/>
    </font>
    <font>
      <i/>
      <sz val="10"/>
      <color theme="1"/>
      <name val="Arial"/>
      <family val="2"/>
    </font>
    <font>
      <sz val="10"/>
      <color rgb="FFC00000"/>
      <name val="Arial"/>
      <family val="2"/>
    </font>
    <font>
      <sz val="11"/>
      <color theme="0"/>
      <name val="Arial"/>
      <family val="2"/>
    </font>
  </fonts>
  <fills count="7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1" tint="0.499984740745262"/>
        <bgColor indexed="64"/>
      </patternFill>
    </fill>
    <fill>
      <gradientFill degree="90">
        <stop position="0">
          <color theme="1"/>
        </stop>
        <stop position="1">
          <color theme="1" tint="0.49803155613879818"/>
        </stop>
      </gradientFill>
    </fill>
    <fill>
      <gradientFill>
        <stop position="0">
          <color theme="1"/>
        </stop>
        <stop position="1">
          <color theme="1" tint="0.49803155613879818"/>
        </stop>
      </gradientFill>
    </fill>
    <fill>
      <patternFill patternType="solid">
        <fgColor theme="7" tint="0.59999389629810485"/>
        <bgColor indexed="64"/>
      </patternFill>
    </fill>
    <fill>
      <gradientFill type="path">
        <stop position="0">
          <color theme="1"/>
        </stop>
        <stop position="1">
          <color theme="1" tint="0.49803155613879818"/>
        </stop>
      </gradientFill>
    </fill>
    <fill>
      <patternFill patternType="solid">
        <fgColor theme="4" tint="-0.249977111117893"/>
        <bgColor indexed="64"/>
      </patternFill>
    </fill>
    <fill>
      <patternFill patternType="solid">
        <fgColor theme="9" tint="0.79998168889431442"/>
        <bgColor indexed="64"/>
      </patternFill>
    </fill>
    <fill>
      <patternFill patternType="solid">
        <fgColor rgb="FFFF2F92"/>
        <bgColor indexed="64"/>
      </patternFill>
    </fill>
    <fill>
      <patternFill patternType="solid">
        <fgColor rgb="FFCCCCFF"/>
        <bgColor indexed="64"/>
      </patternFill>
    </fill>
    <fill>
      <patternFill patternType="solid">
        <fgColor rgb="FFFAB8E6"/>
        <bgColor indexed="64"/>
      </patternFill>
    </fill>
    <fill>
      <patternFill patternType="solid">
        <fgColor rgb="FFFFFF00"/>
        <bgColor indexed="64"/>
      </patternFill>
    </fill>
    <fill>
      <patternFill patternType="solid">
        <fgColor rgb="FFFF8AD8"/>
        <bgColor indexed="64"/>
      </patternFill>
    </fill>
    <fill>
      <patternFill patternType="solid">
        <fgColor rgb="FFA1D5EF"/>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0000"/>
        <bgColor indexed="64"/>
      </patternFill>
    </fill>
    <fill>
      <patternFill patternType="solid">
        <fgColor rgb="FFC00000"/>
        <bgColor indexed="64"/>
      </patternFill>
    </fill>
    <fill>
      <patternFill patternType="solid">
        <fgColor rgb="FFCCFFFF"/>
        <bgColor indexed="64"/>
      </patternFill>
    </fill>
    <fill>
      <patternFill patternType="solid">
        <fgColor rgb="FFBFEFE2"/>
        <bgColor indexed="64"/>
      </patternFill>
    </fill>
    <fill>
      <patternFill patternType="solid">
        <fgColor theme="0" tint="-0.14996795556505021"/>
        <bgColor indexed="64"/>
      </patternFill>
    </fill>
    <fill>
      <patternFill patternType="solid">
        <fgColor rgb="FF8FD9FF"/>
        <bgColor indexed="64"/>
      </patternFill>
    </fill>
    <fill>
      <patternFill patternType="solid">
        <fgColor rgb="FFF6D2EF"/>
        <bgColor indexed="64"/>
      </patternFill>
    </fill>
    <fill>
      <patternFill patternType="solid">
        <fgColor theme="9" tint="0.59996337778862885"/>
        <bgColor indexed="64"/>
      </patternFill>
    </fill>
    <fill>
      <patternFill patternType="solid">
        <fgColor rgb="FF246094"/>
        <bgColor indexed="64"/>
      </patternFill>
    </fill>
    <fill>
      <patternFill patternType="solid">
        <fgColor rgb="FF6ABC4A"/>
        <bgColor indexed="64"/>
      </patternFill>
    </fill>
    <fill>
      <patternFill patternType="solid">
        <fgColor rgb="FFF03A63"/>
        <bgColor indexed="64"/>
      </patternFill>
    </fill>
    <fill>
      <patternFill patternType="solid">
        <fgColor rgb="FFEC3650"/>
        <bgColor indexed="64"/>
      </patternFill>
    </fill>
    <fill>
      <patternFill patternType="solid">
        <fgColor rgb="FF2AA6CC"/>
        <bgColor indexed="64"/>
      </patternFill>
    </fill>
    <fill>
      <patternFill patternType="solid">
        <fgColor rgb="FFFFD966"/>
        <bgColor indexed="64"/>
      </patternFill>
    </fill>
    <fill>
      <patternFill patternType="solid">
        <fgColor rgb="FF5862B8"/>
        <bgColor indexed="64"/>
      </patternFill>
    </fill>
    <fill>
      <patternFill patternType="solid">
        <fgColor rgb="FF2BCFD1"/>
        <bgColor indexed="64"/>
      </patternFill>
    </fill>
    <fill>
      <patternFill patternType="solid">
        <fgColor rgb="FF3981C7"/>
        <bgColor indexed="64"/>
      </patternFill>
    </fill>
    <fill>
      <patternFill patternType="solid">
        <fgColor rgb="FFF5B084"/>
        <bgColor indexed="64"/>
      </patternFill>
    </fill>
    <fill>
      <patternFill patternType="solid">
        <fgColor rgb="FFF4448D"/>
        <bgColor indexed="64"/>
      </patternFill>
    </fill>
    <fill>
      <patternFill patternType="solid">
        <fgColor rgb="FFACAAE5"/>
        <bgColor indexed="64"/>
      </patternFill>
    </fill>
    <fill>
      <patternFill patternType="solid">
        <fgColor rgb="FFCBA1DA"/>
        <bgColor indexed="64"/>
      </patternFill>
    </fill>
    <fill>
      <patternFill patternType="solid">
        <fgColor rgb="FFE794C8"/>
        <bgColor indexed="64"/>
      </patternFill>
    </fill>
    <fill>
      <patternFill patternType="solid">
        <fgColor rgb="FFFC8EB5"/>
        <bgColor indexed="64"/>
      </patternFill>
    </fill>
    <fill>
      <patternFill patternType="solid">
        <fgColor rgb="FFD8B545"/>
        <bgColor indexed="64"/>
      </patternFill>
    </fill>
    <fill>
      <patternFill patternType="solid">
        <fgColor rgb="FFA8C46A"/>
        <bgColor indexed="64"/>
      </patternFill>
    </fill>
    <fill>
      <patternFill patternType="solid">
        <fgColor rgb="FFFBBC18"/>
        <bgColor indexed="64"/>
      </patternFill>
    </fill>
    <fill>
      <patternFill patternType="solid">
        <fgColor rgb="FFF35E41"/>
        <bgColor indexed="64"/>
      </patternFill>
    </fill>
    <fill>
      <patternFill patternType="solid">
        <fgColor rgb="FFF69871"/>
        <bgColor indexed="64"/>
      </patternFill>
    </fill>
    <fill>
      <patternFill patternType="solid">
        <fgColor rgb="FF76D6FF"/>
        <bgColor indexed="64"/>
      </patternFill>
    </fill>
    <fill>
      <patternFill patternType="solid">
        <fgColor rgb="FFA7499A"/>
        <bgColor indexed="64"/>
      </patternFill>
    </fill>
    <fill>
      <patternFill patternType="solid">
        <fgColor rgb="FFC0F0E2"/>
        <bgColor indexed="64"/>
      </patternFill>
    </fill>
    <fill>
      <patternFill patternType="solid">
        <fgColor rgb="FF009193"/>
        <bgColor indexed="64"/>
      </patternFill>
    </fill>
    <fill>
      <patternFill patternType="solid">
        <fgColor rgb="FF005493"/>
        <bgColor indexed="64"/>
      </patternFill>
    </fill>
    <fill>
      <patternFill patternType="solid">
        <fgColor rgb="FFA3D7EF"/>
        <bgColor indexed="64"/>
      </patternFill>
    </fill>
    <fill>
      <patternFill patternType="solid">
        <fgColor theme="7" tint="0.59996337778862885"/>
        <bgColor indexed="64"/>
      </patternFill>
    </fill>
    <fill>
      <patternFill patternType="solid">
        <fgColor theme="5" tint="0.59996337778862885"/>
        <bgColor indexed="64"/>
      </patternFill>
    </fill>
    <fill>
      <patternFill patternType="solid">
        <fgColor rgb="FFFFFF99"/>
        <bgColor indexed="64"/>
      </patternFill>
    </fill>
    <fill>
      <patternFill patternType="solid">
        <fgColor rgb="FF00FB92"/>
        <bgColor indexed="64"/>
      </patternFill>
    </fill>
    <fill>
      <patternFill patternType="solid">
        <fgColor rgb="FFFF7CA9"/>
        <bgColor indexed="64"/>
      </patternFill>
    </fill>
    <fill>
      <patternFill patternType="solid">
        <fgColor rgb="FF595959"/>
        <bgColor indexed="64"/>
      </patternFill>
    </fill>
    <fill>
      <patternFill patternType="solid">
        <fgColor theme="1"/>
        <bgColor indexed="64"/>
      </patternFill>
    </fill>
    <fill>
      <patternFill patternType="solid">
        <fgColor rgb="FF0070C0"/>
        <bgColor indexed="64"/>
      </patternFill>
    </fill>
    <fill>
      <patternFill patternType="solid">
        <fgColor rgb="FFF9B7C7"/>
        <bgColor indexed="64"/>
      </patternFill>
    </fill>
  </fills>
  <borders count="177">
    <border>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thin">
        <color auto="1"/>
      </left>
      <right style="thin">
        <color auto="1"/>
      </right>
      <top style="thin">
        <color auto="1"/>
      </top>
      <bottom/>
      <diagonal/>
    </border>
    <border>
      <left style="medium">
        <color theme="1"/>
      </left>
      <right style="medium">
        <color theme="1"/>
      </right>
      <top/>
      <bottom style="thin">
        <color theme="1"/>
      </bottom>
      <diagonal/>
    </border>
    <border>
      <left style="medium">
        <color theme="1"/>
      </left>
      <right style="medium">
        <color theme="1"/>
      </right>
      <top style="thin">
        <color theme="1"/>
      </top>
      <bottom style="thin">
        <color theme="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theme="1"/>
      </bottom>
      <diagonal/>
    </border>
    <border>
      <left style="medium">
        <color auto="1"/>
      </left>
      <right style="medium">
        <color auto="1"/>
      </right>
      <top style="thin">
        <color theme="1"/>
      </top>
      <bottom style="thin">
        <color theme="1"/>
      </bottom>
      <diagonal/>
    </border>
    <border>
      <left style="medium">
        <color auto="1"/>
      </left>
      <right style="thin">
        <color theme="1"/>
      </right>
      <top/>
      <bottom style="thin">
        <color theme="1"/>
      </bottom>
      <diagonal/>
    </border>
    <border>
      <left style="thin">
        <color theme="1"/>
      </left>
      <right style="medium">
        <color auto="1"/>
      </right>
      <top/>
      <bottom style="thin">
        <color theme="1"/>
      </bottom>
      <diagonal/>
    </border>
    <border>
      <left style="medium">
        <color auto="1"/>
      </left>
      <right style="thin">
        <color theme="1"/>
      </right>
      <top style="thin">
        <color theme="1"/>
      </top>
      <bottom style="thin">
        <color theme="1"/>
      </bottom>
      <diagonal/>
    </border>
    <border>
      <left style="thin">
        <color theme="1"/>
      </left>
      <right style="medium">
        <color auto="1"/>
      </right>
      <top style="thin">
        <color theme="1"/>
      </top>
      <bottom style="thin">
        <color theme="1"/>
      </bottom>
      <diagonal/>
    </border>
    <border>
      <left style="medium">
        <color auto="1"/>
      </left>
      <right/>
      <top/>
      <bottom style="thin">
        <color theme="1"/>
      </bottom>
      <diagonal/>
    </border>
    <border>
      <left/>
      <right style="medium">
        <color auto="1"/>
      </right>
      <top/>
      <bottom style="thin">
        <color theme="1"/>
      </bottom>
      <diagonal/>
    </border>
    <border>
      <left style="medium">
        <color theme="1"/>
      </left>
      <right/>
      <top/>
      <bottom style="thin">
        <color theme="1"/>
      </bottom>
      <diagonal/>
    </border>
    <border>
      <left style="medium">
        <color theme="1"/>
      </left>
      <right style="medium">
        <color theme="1"/>
      </right>
      <top style="medium">
        <color theme="1"/>
      </top>
      <bottom style="medium">
        <color auto="1"/>
      </bottom>
      <diagonal/>
    </border>
    <border>
      <left style="medium">
        <color auto="1"/>
      </left>
      <right style="medium">
        <color auto="1"/>
      </right>
      <top/>
      <bottom style="medium">
        <color auto="1"/>
      </bottom>
      <diagonal/>
    </border>
    <border>
      <left style="medium">
        <color auto="1"/>
      </left>
      <right style="thin">
        <color theme="1"/>
      </right>
      <top/>
      <bottom style="medium">
        <color auto="1"/>
      </bottom>
      <diagonal/>
    </border>
    <border>
      <left/>
      <right style="thin">
        <color theme="1"/>
      </right>
      <top/>
      <bottom style="medium">
        <color auto="1"/>
      </bottom>
      <diagonal/>
    </border>
    <border>
      <left style="thin">
        <color theme="1"/>
      </left>
      <right style="medium">
        <color auto="1"/>
      </right>
      <top/>
      <bottom style="medium">
        <color auto="1"/>
      </bottom>
      <diagonal/>
    </border>
    <border>
      <left style="thin">
        <color theme="1"/>
      </left>
      <right/>
      <top/>
      <bottom style="medium">
        <color auto="1"/>
      </bottom>
      <diagonal/>
    </border>
    <border>
      <left style="medium">
        <color theme="1"/>
      </left>
      <right/>
      <top/>
      <bottom style="medium">
        <color auto="1"/>
      </bottom>
      <diagonal/>
    </border>
    <border>
      <left style="medium">
        <color theme="1"/>
      </left>
      <right style="medium">
        <color theme="1"/>
      </right>
      <top/>
      <bottom style="medium">
        <color auto="1"/>
      </bottom>
      <diagonal/>
    </border>
    <border>
      <left style="medium">
        <color theme="1"/>
      </left>
      <right/>
      <top style="medium">
        <color theme="1"/>
      </top>
      <bottom style="medium">
        <color auto="1"/>
      </bottom>
      <diagonal/>
    </border>
    <border>
      <left/>
      <right style="medium">
        <color theme="1"/>
      </right>
      <top style="medium">
        <color theme="1"/>
      </top>
      <bottom style="medium">
        <color auto="1"/>
      </bottom>
      <diagonal/>
    </border>
    <border>
      <left/>
      <right/>
      <top style="medium">
        <color theme="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right style="thin">
        <color auto="1"/>
      </right>
      <top style="medium">
        <color auto="1"/>
      </top>
      <bottom/>
      <diagonal/>
    </border>
    <border>
      <left style="thin">
        <color auto="1"/>
      </left>
      <right/>
      <top style="medium">
        <color auto="1"/>
      </top>
      <bottom/>
      <diagonal/>
    </border>
    <border>
      <left style="medium">
        <color auto="1"/>
      </left>
      <right style="medium">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ck">
        <color auto="1"/>
      </left>
      <right style="thin">
        <color auto="1"/>
      </right>
      <top style="medium">
        <color auto="1"/>
      </top>
      <bottom style="medium">
        <color auto="1"/>
      </bottom>
      <diagonal/>
    </border>
    <border>
      <left style="thick">
        <color auto="1"/>
      </left>
      <right style="thin">
        <color auto="1"/>
      </right>
      <top style="thin">
        <color auto="1"/>
      </top>
      <bottom style="thin">
        <color auto="1"/>
      </bottom>
      <diagonal/>
    </border>
    <border>
      <left style="medium">
        <color auto="1"/>
      </left>
      <right/>
      <top style="medium">
        <color auto="1"/>
      </top>
      <bottom style="thin">
        <color auto="1"/>
      </bottom>
      <diagonal/>
    </border>
    <border>
      <left style="thick">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theme="1"/>
      </right>
      <top/>
      <bottom style="medium">
        <color auto="1"/>
      </bottom>
      <diagonal/>
    </border>
    <border>
      <left/>
      <right style="medium">
        <color theme="1"/>
      </right>
      <top/>
      <bottom style="thin">
        <color theme="1"/>
      </bottom>
      <diagonal/>
    </border>
    <border>
      <left/>
      <right style="medium">
        <color theme="1"/>
      </right>
      <top style="thin">
        <color theme="1"/>
      </top>
      <bottom style="thin">
        <color theme="1"/>
      </bottom>
      <diagonal/>
    </border>
    <border>
      <left style="medium">
        <color theme="1"/>
      </left>
      <right style="thin">
        <color theme="1"/>
      </right>
      <top style="medium">
        <color auto="1"/>
      </top>
      <bottom style="medium">
        <color auto="1"/>
      </bottom>
      <diagonal/>
    </border>
    <border>
      <left style="medium">
        <color theme="1"/>
      </left>
      <right style="thin">
        <color theme="1"/>
      </right>
      <top/>
      <bottom style="thin">
        <color theme="1"/>
      </bottom>
      <diagonal/>
    </border>
    <border>
      <left style="medium">
        <color auto="1"/>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theme="1"/>
      </left>
      <right style="medium">
        <color theme="1"/>
      </right>
      <top style="medium">
        <color auto="1"/>
      </top>
      <bottom style="medium">
        <color auto="1"/>
      </bottom>
      <diagonal/>
    </border>
    <border>
      <left/>
      <right/>
      <top style="dashed">
        <color auto="1"/>
      </top>
      <bottom/>
      <diagonal/>
    </border>
    <border>
      <left style="dashed">
        <color auto="1"/>
      </left>
      <right style="dashed">
        <color auto="1"/>
      </right>
      <top style="dashed">
        <color auto="1"/>
      </top>
      <bottom style="dashed">
        <color auto="1"/>
      </bottom>
      <diagonal/>
    </border>
    <border>
      <left style="thick">
        <color auto="1"/>
      </left>
      <right style="thin">
        <color auto="1"/>
      </right>
      <top style="thin">
        <color auto="1"/>
      </top>
      <bottom/>
      <diagonal/>
    </border>
    <border>
      <left style="thin">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thin">
        <color auto="1"/>
      </right>
      <top style="thin">
        <color auto="1"/>
      </top>
      <bottom style="thick">
        <color auto="1"/>
      </bottom>
      <diagonal/>
    </border>
    <border>
      <left/>
      <right/>
      <top style="thick">
        <color auto="1"/>
      </top>
      <bottom/>
      <diagonal/>
    </border>
    <border>
      <left/>
      <right style="medium">
        <color auto="1"/>
      </right>
      <top style="thin">
        <color auto="1"/>
      </top>
      <bottom style="thick">
        <color auto="1"/>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dashed">
        <color auto="1"/>
      </left>
      <right/>
      <top style="dashed">
        <color auto="1"/>
      </top>
      <bottom/>
      <diagonal/>
    </border>
    <border>
      <left/>
      <right style="dashed">
        <color auto="1"/>
      </right>
      <top style="dashed">
        <color auto="1"/>
      </top>
      <bottom/>
      <diagonal/>
    </border>
    <border>
      <left style="medium">
        <color auto="1"/>
      </left>
      <right style="medium">
        <color auto="1"/>
      </right>
      <top style="thin">
        <color theme="1"/>
      </top>
      <bottom style="thin">
        <color auto="1"/>
      </bottom>
      <diagonal/>
    </border>
    <border>
      <left style="medium">
        <color auto="1"/>
      </left>
      <right style="thin">
        <color theme="1"/>
      </right>
      <top style="thin">
        <color theme="1"/>
      </top>
      <bottom style="thin">
        <color auto="1"/>
      </bottom>
      <diagonal/>
    </border>
    <border>
      <left/>
      <right style="thin">
        <color theme="1"/>
      </right>
      <top style="thin">
        <color theme="1"/>
      </top>
      <bottom style="thin">
        <color auto="1"/>
      </bottom>
      <diagonal/>
    </border>
    <border>
      <left style="thin">
        <color theme="1"/>
      </left>
      <right style="medium">
        <color auto="1"/>
      </right>
      <top style="thin">
        <color theme="1"/>
      </top>
      <bottom style="thin">
        <color auto="1"/>
      </bottom>
      <diagonal/>
    </border>
    <border>
      <left style="medium">
        <color auto="1"/>
      </left>
      <right/>
      <top style="thin">
        <color theme="1"/>
      </top>
      <bottom style="thin">
        <color auto="1"/>
      </bottom>
      <diagonal/>
    </border>
    <border>
      <left/>
      <right style="medium">
        <color auto="1"/>
      </right>
      <top style="thin">
        <color theme="1"/>
      </top>
      <bottom style="thin">
        <color auto="1"/>
      </bottom>
      <diagonal/>
    </border>
    <border>
      <left style="thin">
        <color theme="1"/>
      </left>
      <right/>
      <top style="thin">
        <color theme="1"/>
      </top>
      <bottom style="thin">
        <color auto="1"/>
      </bottom>
      <diagonal/>
    </border>
    <border>
      <left/>
      <right/>
      <top style="thin">
        <color theme="1"/>
      </top>
      <bottom style="thin">
        <color auto="1"/>
      </bottom>
      <diagonal/>
    </border>
    <border>
      <left style="medium">
        <color theme="1"/>
      </left>
      <right/>
      <top style="thin">
        <color theme="1"/>
      </top>
      <bottom style="thin">
        <color auto="1"/>
      </bottom>
      <diagonal/>
    </border>
    <border>
      <left style="medium">
        <color theme="1"/>
      </left>
      <right style="medium">
        <color theme="1"/>
      </right>
      <top style="thin">
        <color theme="1"/>
      </top>
      <bottom style="thin">
        <color auto="1"/>
      </bottom>
      <diagonal/>
    </border>
    <border>
      <left style="medium">
        <color theme="1"/>
      </left>
      <right style="thin">
        <color theme="1"/>
      </right>
      <top style="thin">
        <color theme="1"/>
      </top>
      <bottom style="thin">
        <color auto="1"/>
      </bottom>
      <diagonal/>
    </border>
    <border>
      <left/>
      <right style="medium">
        <color theme="1"/>
      </right>
      <top style="thin">
        <color theme="1"/>
      </top>
      <bottom style="thin">
        <color auto="1"/>
      </bottom>
      <diagonal/>
    </border>
    <border>
      <left style="medium">
        <color auto="1"/>
      </left>
      <right style="thin">
        <color theme="1"/>
      </right>
      <top style="thin">
        <color auto="1"/>
      </top>
      <bottom style="thin">
        <color auto="1"/>
      </bottom>
      <diagonal/>
    </border>
    <border>
      <left/>
      <right style="thin">
        <color theme="1"/>
      </right>
      <top style="thin">
        <color auto="1"/>
      </top>
      <bottom style="thin">
        <color auto="1"/>
      </bottom>
      <diagonal/>
    </border>
    <border>
      <left style="thin">
        <color theme="1"/>
      </left>
      <right style="medium">
        <color auto="1"/>
      </right>
      <top style="thin">
        <color auto="1"/>
      </top>
      <bottom style="thin">
        <color auto="1"/>
      </bottom>
      <diagonal/>
    </border>
    <border>
      <left style="thin">
        <color theme="1"/>
      </left>
      <right/>
      <top style="thin">
        <color auto="1"/>
      </top>
      <bottom style="thin">
        <color auto="1"/>
      </bottom>
      <diagonal/>
    </border>
    <border>
      <left style="medium">
        <color theme="1"/>
      </left>
      <right/>
      <top style="thin">
        <color auto="1"/>
      </top>
      <bottom style="thin">
        <color auto="1"/>
      </bottom>
      <diagonal/>
    </border>
    <border>
      <left style="medium">
        <color theme="1"/>
      </left>
      <right style="medium">
        <color theme="1"/>
      </right>
      <top style="thin">
        <color auto="1"/>
      </top>
      <bottom style="thin">
        <color auto="1"/>
      </bottom>
      <diagonal/>
    </border>
    <border>
      <left style="medium">
        <color theme="1"/>
      </left>
      <right style="thin">
        <color theme="1"/>
      </right>
      <top style="thin">
        <color auto="1"/>
      </top>
      <bottom style="thin">
        <color auto="1"/>
      </bottom>
      <diagonal/>
    </border>
    <border>
      <left/>
      <right style="medium">
        <color theme="1"/>
      </right>
      <top style="thin">
        <color auto="1"/>
      </top>
      <bottom style="thin">
        <color auto="1"/>
      </bottom>
      <diagonal/>
    </border>
    <border>
      <left style="medium">
        <color auto="1"/>
      </left>
      <right style="thin">
        <color theme="1"/>
      </right>
      <top style="thin">
        <color auto="1"/>
      </top>
      <bottom style="medium">
        <color auto="1"/>
      </bottom>
      <diagonal/>
    </border>
    <border>
      <left style="thin">
        <color theme="1"/>
      </left>
      <right style="thin">
        <color theme="1"/>
      </right>
      <top style="thin">
        <color auto="1"/>
      </top>
      <bottom style="medium">
        <color auto="1"/>
      </bottom>
      <diagonal/>
    </border>
    <border>
      <left style="thin">
        <color theme="1"/>
      </left>
      <right style="medium">
        <color auto="1"/>
      </right>
      <top style="thin">
        <color auto="1"/>
      </top>
      <bottom style="medium">
        <color auto="1"/>
      </bottom>
      <diagonal/>
    </border>
    <border>
      <left style="thin">
        <color theme="1"/>
      </left>
      <right/>
      <top style="thin">
        <color auto="1"/>
      </top>
      <bottom style="medium">
        <color auto="1"/>
      </bottom>
      <diagonal/>
    </border>
    <border>
      <left/>
      <right style="thin">
        <color theme="1"/>
      </right>
      <top style="thin">
        <color auto="1"/>
      </top>
      <bottom style="medium">
        <color auto="1"/>
      </bottom>
      <diagonal/>
    </border>
    <border>
      <left style="medium">
        <color theme="1"/>
      </left>
      <right/>
      <top style="thin">
        <color auto="1"/>
      </top>
      <bottom style="medium">
        <color auto="1"/>
      </bottom>
      <diagonal/>
    </border>
    <border>
      <left style="medium">
        <color theme="1"/>
      </left>
      <right style="medium">
        <color theme="1"/>
      </right>
      <top style="thin">
        <color auto="1"/>
      </top>
      <bottom style="medium">
        <color auto="1"/>
      </bottom>
      <diagonal/>
    </border>
    <border>
      <left style="medium">
        <color theme="1"/>
      </left>
      <right style="thin">
        <color theme="1"/>
      </right>
      <top style="thin">
        <color auto="1"/>
      </top>
      <bottom style="medium">
        <color auto="1"/>
      </bottom>
      <diagonal/>
    </border>
    <border>
      <left/>
      <right style="medium">
        <color theme="1"/>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medium">
        <color auto="1"/>
      </left>
      <right style="thin">
        <color theme="1"/>
      </right>
      <top/>
      <bottom style="thin">
        <color auto="1"/>
      </bottom>
      <diagonal/>
    </border>
    <border>
      <left/>
      <right style="thin">
        <color theme="1"/>
      </right>
      <top/>
      <bottom style="thin">
        <color auto="1"/>
      </bottom>
      <diagonal/>
    </border>
    <border>
      <left style="thin">
        <color theme="1"/>
      </left>
      <right style="medium">
        <color auto="1"/>
      </right>
      <top/>
      <bottom style="thin">
        <color auto="1"/>
      </bottom>
      <diagonal/>
    </border>
    <border>
      <left style="thin">
        <color theme="1"/>
      </left>
      <right/>
      <top/>
      <bottom style="thin">
        <color auto="1"/>
      </bottom>
      <diagonal/>
    </border>
    <border>
      <left style="medium">
        <color theme="1"/>
      </left>
      <right/>
      <top/>
      <bottom style="thin">
        <color auto="1"/>
      </bottom>
      <diagonal/>
    </border>
    <border>
      <left style="medium">
        <color theme="1"/>
      </left>
      <right style="medium">
        <color theme="1"/>
      </right>
      <top/>
      <bottom style="thin">
        <color auto="1"/>
      </bottom>
      <diagonal/>
    </border>
    <border>
      <left style="medium">
        <color theme="1"/>
      </left>
      <right style="thin">
        <color theme="1"/>
      </right>
      <top/>
      <bottom style="thin">
        <color auto="1"/>
      </bottom>
      <diagonal/>
    </border>
    <border>
      <left/>
      <right style="medium">
        <color theme="1"/>
      </right>
      <top/>
      <bottom style="thin">
        <color auto="1"/>
      </bottom>
      <diagonal/>
    </border>
    <border>
      <left style="dashed">
        <color auto="1"/>
      </left>
      <right style="dashed">
        <color auto="1"/>
      </right>
      <top/>
      <bottom style="dashed">
        <color auto="1"/>
      </bottom>
      <diagonal/>
    </border>
    <border>
      <left style="dashed">
        <color auto="1"/>
      </left>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2">
    <xf numFmtId="0" fontId="0" fillId="0" borderId="0"/>
    <xf numFmtId="0" fontId="21" fillId="0" borderId="0" applyNumberFormat="0" applyFill="0" applyBorder="0" applyAlignment="0" applyProtection="0"/>
  </cellStyleXfs>
  <cellXfs count="979">
    <xf numFmtId="0" fontId="0" fillId="0" borderId="0" xfId="0"/>
    <xf numFmtId="0" fontId="0" fillId="13" borderId="0" xfId="0" applyFill="1"/>
    <xf numFmtId="0" fontId="0" fillId="14" borderId="0" xfId="0" applyFill="1"/>
    <xf numFmtId="0" fontId="0" fillId="15" borderId="0" xfId="0" applyFill="1"/>
    <xf numFmtId="0" fontId="0" fillId="4" borderId="15" xfId="0" applyFill="1" applyBorder="1" applyAlignment="1">
      <alignment horizontal="center"/>
    </xf>
    <xf numFmtId="0" fontId="0" fillId="4" borderId="15" xfId="0" applyFill="1" applyBorder="1"/>
    <xf numFmtId="0" fontId="0" fillId="16" borderId="15" xfId="0" applyFill="1" applyBorder="1" applyAlignment="1">
      <alignment horizontal="center" vertical="center"/>
    </xf>
    <xf numFmtId="9" fontId="0" fillId="16" borderId="15" xfId="0" applyNumberFormat="1" applyFill="1" applyBorder="1" applyAlignment="1">
      <alignment horizontal="center" vertical="center"/>
    </xf>
    <xf numFmtId="0" fontId="0" fillId="17" borderId="0" xfId="0" applyFill="1"/>
    <xf numFmtId="0" fontId="0" fillId="4" borderId="6" xfId="0" applyFill="1" applyBorder="1" applyAlignment="1">
      <alignment horizontal="center" vertical="center"/>
    </xf>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4" borderId="2" xfId="0" applyFill="1" applyBorder="1" applyAlignment="1">
      <alignment horizontal="center" vertical="center"/>
    </xf>
    <xf numFmtId="0" fontId="0" fillId="4" borderId="39" xfId="0" applyFill="1" applyBorder="1" applyAlignment="1">
      <alignment horizontal="center" vertical="center"/>
    </xf>
    <xf numFmtId="0" fontId="0" fillId="4" borderId="42" xfId="0" applyFill="1" applyBorder="1" applyAlignment="1">
      <alignment vertical="center"/>
    </xf>
    <xf numFmtId="0" fontId="0" fillId="4" borderId="67" xfId="0" applyFill="1" applyBorder="1" applyAlignment="1">
      <alignment horizontal="center" vertical="center"/>
    </xf>
    <xf numFmtId="0" fontId="0" fillId="4" borderId="93" xfId="0" applyFill="1" applyBorder="1" applyAlignment="1">
      <alignment horizontal="center" vertical="center"/>
    </xf>
    <xf numFmtId="0" fontId="0" fillId="4" borderId="61" xfId="0" applyFill="1" applyBorder="1" applyAlignment="1">
      <alignment horizontal="center" vertical="center"/>
    </xf>
    <xf numFmtId="0" fontId="0" fillId="4" borderId="68" xfId="0" applyFill="1" applyBorder="1" applyAlignment="1">
      <alignment horizontal="center" vertical="center"/>
    </xf>
    <xf numFmtId="0" fontId="0" fillId="4" borderId="62" xfId="0" applyFill="1" applyBorder="1" applyAlignment="1">
      <alignment horizontal="center" vertical="center"/>
    </xf>
    <xf numFmtId="0" fontId="0" fillId="4" borderId="81" xfId="0" applyFill="1" applyBorder="1" applyAlignment="1">
      <alignment horizontal="center" vertical="center"/>
    </xf>
    <xf numFmtId="0" fontId="0" fillId="4" borderId="28" xfId="0" applyFill="1" applyBorder="1" applyAlignment="1">
      <alignment horizontal="center" vertical="center"/>
    </xf>
    <xf numFmtId="0" fontId="0" fillId="4" borderId="69" xfId="0" applyFill="1" applyBorder="1" applyAlignment="1">
      <alignment horizontal="center" vertical="center"/>
    </xf>
    <xf numFmtId="0" fontId="0" fillId="4" borderId="66" xfId="0" applyFill="1" applyBorder="1" applyAlignment="1">
      <alignment horizontal="center" vertical="center"/>
    </xf>
    <xf numFmtId="0" fontId="0" fillId="4" borderId="70" xfId="0" applyFill="1" applyBorder="1" applyAlignment="1">
      <alignment horizontal="center" vertical="center"/>
    </xf>
    <xf numFmtId="0" fontId="0" fillId="4" borderId="83" xfId="0" applyFill="1" applyBorder="1" applyAlignment="1">
      <alignment horizontal="center" vertical="center"/>
    </xf>
    <xf numFmtId="0" fontId="0" fillId="4" borderId="73" xfId="0" applyFill="1" applyBorder="1" applyAlignment="1">
      <alignment horizontal="right" vertical="center"/>
    </xf>
    <xf numFmtId="0" fontId="0" fillId="4" borderId="65" xfId="0" applyFill="1" applyBorder="1" applyAlignment="1">
      <alignment horizontal="right" vertical="center"/>
    </xf>
    <xf numFmtId="0" fontId="0" fillId="4" borderId="75" xfId="0" applyFill="1" applyBorder="1" applyAlignment="1">
      <alignment horizontal="center" vertical="center"/>
    </xf>
    <xf numFmtId="0" fontId="14" fillId="6" borderId="52" xfId="0" applyFont="1" applyFill="1" applyBorder="1" applyAlignment="1">
      <alignment horizontal="center" vertical="center"/>
    </xf>
    <xf numFmtId="0" fontId="14" fillId="6" borderId="53" xfId="0" applyFont="1" applyFill="1" applyBorder="1" applyAlignment="1">
      <alignment horizontal="center" vertical="center"/>
    </xf>
    <xf numFmtId="0" fontId="14" fillId="6" borderId="54" xfId="0" applyFont="1" applyFill="1" applyBorder="1" applyAlignment="1">
      <alignment horizontal="center" vertical="center"/>
    </xf>
    <xf numFmtId="0" fontId="14" fillId="19" borderId="52" xfId="0" applyFont="1" applyFill="1" applyBorder="1" applyAlignment="1">
      <alignment horizontal="center" vertical="center"/>
    </xf>
    <xf numFmtId="0" fontId="14" fillId="19" borderId="23" xfId="0" applyFont="1" applyFill="1" applyBorder="1" applyAlignment="1">
      <alignment horizontal="center" vertical="center" wrapText="1"/>
    </xf>
    <xf numFmtId="0" fontId="14" fillId="19" borderId="55" xfId="0" applyFont="1" applyFill="1" applyBorder="1" applyAlignment="1">
      <alignment horizontal="center" vertical="center" wrapText="1"/>
    </xf>
    <xf numFmtId="0" fontId="14" fillId="7" borderId="56" xfId="0" applyFont="1" applyFill="1" applyBorder="1" applyAlignment="1">
      <alignment horizontal="center" vertical="center" wrapText="1"/>
    </xf>
    <xf numFmtId="0" fontId="14" fillId="7" borderId="57" xfId="0" applyFont="1" applyFill="1" applyBorder="1" applyAlignment="1">
      <alignment horizontal="center" vertical="center" wrapText="1"/>
    </xf>
    <xf numFmtId="0" fontId="14" fillId="7" borderId="57" xfId="0" applyFont="1" applyFill="1" applyBorder="1" applyAlignment="1">
      <alignment horizontal="center" vertical="center"/>
    </xf>
    <xf numFmtId="0" fontId="14" fillId="10" borderId="52" xfId="0" applyFont="1" applyFill="1" applyBorder="1" applyAlignment="1">
      <alignment horizontal="center" vertical="center"/>
    </xf>
    <xf numFmtId="0" fontId="14" fillId="10" borderId="55" xfId="0" applyFont="1" applyFill="1" applyBorder="1" applyAlignment="1">
      <alignment horizontal="center" vertical="center"/>
    </xf>
    <xf numFmtId="0" fontId="14" fillId="10" borderId="54" xfId="0" applyFont="1" applyFill="1" applyBorder="1" applyAlignment="1">
      <alignment horizontal="center" vertical="center"/>
    </xf>
    <xf numFmtId="0" fontId="14" fillId="11" borderId="57" xfId="0" applyFont="1" applyFill="1" applyBorder="1" applyAlignment="1">
      <alignment horizontal="center" vertical="center"/>
    </xf>
    <xf numFmtId="0" fontId="0" fillId="12" borderId="50" xfId="0" applyFill="1" applyBorder="1" applyAlignment="1">
      <alignment vertical="center"/>
    </xf>
    <xf numFmtId="0" fontId="30" fillId="20" borderId="1" xfId="0" applyFont="1" applyFill="1" applyBorder="1" applyAlignment="1">
      <alignment horizontal="right" vertical="center"/>
    </xf>
    <xf numFmtId="0" fontId="14" fillId="2" borderId="51" xfId="0" applyFont="1" applyFill="1" applyBorder="1" applyAlignment="1">
      <alignment vertical="center"/>
    </xf>
    <xf numFmtId="0" fontId="0" fillId="6" borderId="31" xfId="0" applyFill="1" applyBorder="1" applyAlignment="1">
      <alignment horizontal="center" vertical="center"/>
    </xf>
    <xf numFmtId="0" fontId="0" fillId="6" borderId="87" xfId="0" applyFill="1" applyBorder="1" applyAlignment="1">
      <alignment horizontal="center" vertical="center"/>
    </xf>
    <xf numFmtId="0" fontId="0" fillId="6" borderId="88" xfId="0" applyFill="1" applyBorder="1" applyAlignment="1">
      <alignment horizontal="center" vertical="center"/>
    </xf>
    <xf numFmtId="0" fontId="0" fillId="6" borderId="89" xfId="0" applyFill="1" applyBorder="1" applyAlignment="1">
      <alignment horizontal="center" vertical="center"/>
    </xf>
    <xf numFmtId="0" fontId="0" fillId="6" borderId="33" xfId="0" applyFill="1" applyBorder="1" applyAlignment="1">
      <alignment horizontal="center" vertical="center"/>
    </xf>
    <xf numFmtId="0" fontId="0" fillId="10" borderId="89" xfId="0" applyFill="1" applyBorder="1" applyAlignment="1">
      <alignment horizontal="center" vertical="center"/>
    </xf>
    <xf numFmtId="0" fontId="0" fillId="10" borderId="87" xfId="0" applyFill="1" applyBorder="1" applyAlignment="1">
      <alignment horizontal="center" vertical="center"/>
    </xf>
    <xf numFmtId="0" fontId="0" fillId="10" borderId="88" xfId="0" applyFill="1" applyBorder="1" applyAlignment="1">
      <alignment horizontal="center" vertical="center"/>
    </xf>
    <xf numFmtId="0" fontId="0" fillId="19" borderId="89" xfId="0" applyFill="1" applyBorder="1" applyAlignment="1">
      <alignment horizontal="center" vertical="center"/>
    </xf>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0" fontId="14" fillId="7" borderId="40" xfId="0" applyFont="1" applyFill="1" applyBorder="1" applyAlignment="1">
      <alignment horizontal="center" vertical="center"/>
    </xf>
    <xf numFmtId="0" fontId="0" fillId="7" borderId="40" xfId="0" applyFill="1" applyBorder="1" applyAlignment="1">
      <alignment horizontal="center" vertical="center"/>
    </xf>
    <xf numFmtId="0" fontId="0" fillId="7" borderId="33" xfId="0" applyFill="1" applyBorder="1" applyAlignment="1">
      <alignment horizontal="center" vertical="center"/>
    </xf>
    <xf numFmtId="164" fontId="15" fillId="4" borderId="1" xfId="0" applyNumberFormat="1" applyFont="1" applyFill="1" applyBorder="1" applyAlignment="1">
      <alignment horizontal="center" vertical="center"/>
    </xf>
    <xf numFmtId="0" fontId="0" fillId="16" borderId="91" xfId="0" applyFill="1" applyBorder="1" applyAlignment="1">
      <alignment horizontal="center" vertical="center"/>
    </xf>
    <xf numFmtId="0" fontId="0" fillId="16" borderId="90" xfId="0" applyFill="1" applyBorder="1" applyAlignment="1">
      <alignment horizontal="center" vertical="center"/>
    </xf>
    <xf numFmtId="0" fontId="0" fillId="22" borderId="94" xfId="0" applyFill="1" applyBorder="1" applyAlignment="1">
      <alignment horizontal="center" vertical="center"/>
    </xf>
    <xf numFmtId="0" fontId="0" fillId="22" borderId="87" xfId="0" applyFill="1" applyBorder="1" applyAlignment="1">
      <alignment horizontal="center" vertical="center"/>
    </xf>
    <xf numFmtId="0" fontId="0" fillId="22" borderId="88" xfId="0" applyFill="1" applyBorder="1" applyAlignment="1">
      <alignment vertical="center"/>
    </xf>
    <xf numFmtId="0" fontId="0" fillId="22" borderId="31" xfId="0" applyFill="1" applyBorder="1" applyAlignment="1">
      <alignment vertical="center"/>
    </xf>
    <xf numFmtId="0" fontId="0" fillId="22" borderId="33" xfId="0" applyFill="1" applyBorder="1" applyAlignment="1">
      <alignment vertical="center"/>
    </xf>
    <xf numFmtId="0" fontId="0" fillId="22" borderId="91" xfId="0" applyFill="1" applyBorder="1" applyAlignment="1">
      <alignment vertical="center"/>
    </xf>
    <xf numFmtId="0" fontId="0" fillId="22" borderId="90" xfId="0" applyFill="1" applyBorder="1" applyAlignment="1">
      <alignment vertical="center"/>
    </xf>
    <xf numFmtId="0" fontId="0" fillId="22" borderId="89" xfId="0" applyFill="1" applyBorder="1" applyAlignment="1">
      <alignment vertical="center"/>
    </xf>
    <xf numFmtId="0" fontId="0" fillId="22" borderId="32" xfId="0" applyFill="1" applyBorder="1" applyAlignment="1">
      <alignment vertical="center"/>
    </xf>
    <xf numFmtId="0" fontId="0" fillId="16" borderId="40" xfId="0" applyFill="1" applyBorder="1" applyAlignment="1">
      <alignment vertical="center"/>
    </xf>
    <xf numFmtId="0" fontId="0" fillId="16" borderId="32" xfId="0" applyFill="1" applyBorder="1" applyAlignment="1">
      <alignment vertical="center"/>
    </xf>
    <xf numFmtId="0" fontId="0" fillId="16" borderId="33" xfId="0" applyFill="1" applyBorder="1" applyAlignment="1">
      <alignment vertical="center"/>
    </xf>
    <xf numFmtId="0" fontId="0" fillId="2" borderId="31" xfId="0" applyFill="1" applyBorder="1" applyAlignment="1">
      <alignment vertical="center"/>
    </xf>
    <xf numFmtId="0" fontId="0" fillId="19" borderId="32" xfId="0" applyFill="1" applyBorder="1" applyAlignment="1">
      <alignment vertical="center"/>
    </xf>
    <xf numFmtId="0" fontId="0" fillId="19" borderId="33" xfId="0" applyFill="1" applyBorder="1" applyAlignment="1">
      <alignment vertical="center"/>
    </xf>
    <xf numFmtId="0" fontId="0" fillId="19" borderId="31" xfId="0" applyFill="1" applyBorder="1" applyAlignment="1">
      <alignment vertical="center"/>
    </xf>
    <xf numFmtId="0" fontId="0" fillId="19" borderId="87" xfId="0" applyFill="1" applyBorder="1" applyAlignment="1">
      <alignment vertical="center"/>
    </xf>
    <xf numFmtId="0" fontId="0" fillId="19" borderId="88" xfId="0" applyFill="1" applyBorder="1" applyAlignment="1">
      <alignment horizontal="center" vertical="center"/>
    </xf>
    <xf numFmtId="0" fontId="0" fillId="7" borderId="31" xfId="0" applyFill="1" applyBorder="1" applyAlignment="1">
      <alignment vertical="center"/>
    </xf>
    <xf numFmtId="0" fontId="0" fillId="11" borderId="40" xfId="0" applyFill="1" applyBorder="1" applyAlignment="1">
      <alignment vertical="center"/>
    </xf>
    <xf numFmtId="0" fontId="0" fillId="12" borderId="40" xfId="0" applyFill="1" applyBorder="1" applyAlignment="1">
      <alignment vertical="center"/>
    </xf>
    <xf numFmtId="0" fontId="0" fillId="4" borderId="40" xfId="0" applyFill="1" applyBorder="1" applyAlignment="1">
      <alignment horizontal="center" vertical="center"/>
    </xf>
    <xf numFmtId="0" fontId="14" fillId="16" borderId="40" xfId="0" applyFont="1" applyFill="1" applyBorder="1" applyAlignment="1">
      <alignment horizontal="center" vertical="center"/>
    </xf>
    <xf numFmtId="0" fontId="14" fillId="8" borderId="40" xfId="0" applyFont="1" applyFill="1" applyBorder="1" applyAlignment="1">
      <alignment horizontal="center" vertical="center"/>
    </xf>
    <xf numFmtId="0" fontId="14" fillId="5" borderId="40" xfId="0" applyFont="1" applyFill="1" applyBorder="1" applyAlignment="1">
      <alignment horizontal="center" vertical="center"/>
    </xf>
    <xf numFmtId="0" fontId="0" fillId="3" borderId="40" xfId="0" applyFill="1" applyBorder="1" applyAlignment="1">
      <alignment horizontal="center" vertical="center"/>
    </xf>
    <xf numFmtId="0" fontId="0" fillId="22" borderId="40" xfId="0" applyFill="1" applyBorder="1"/>
    <xf numFmtId="0" fontId="0" fillId="22" borderId="40" xfId="0" applyFill="1" applyBorder="1" applyAlignment="1">
      <alignment horizontal="center" vertical="center"/>
    </xf>
    <xf numFmtId="0" fontId="0" fillId="2" borderId="17" xfId="0" applyFill="1" applyBorder="1"/>
    <xf numFmtId="0" fontId="0" fillId="2" borderId="17" xfId="0" applyFill="1" applyBorder="1" applyAlignment="1">
      <alignment horizontal="center" vertical="center"/>
    </xf>
    <xf numFmtId="0" fontId="0" fillId="4" borderId="40" xfId="0" applyFill="1" applyBorder="1"/>
    <xf numFmtId="0" fontId="0" fillId="9" borderId="40" xfId="0" applyFill="1" applyBorder="1" applyAlignment="1">
      <alignment horizontal="center" vertical="center"/>
    </xf>
    <xf numFmtId="0" fontId="0" fillId="4" borderId="72" xfId="0" applyFill="1" applyBorder="1" applyAlignment="1">
      <alignment horizontal="right" vertical="center"/>
    </xf>
    <xf numFmtId="0" fontId="0" fillId="4" borderId="95" xfId="0" applyFill="1" applyBorder="1" applyAlignment="1">
      <alignment vertical="center"/>
    </xf>
    <xf numFmtId="0" fontId="0" fillId="4" borderId="30" xfId="0" applyFill="1" applyBorder="1" applyAlignment="1">
      <alignment horizontal="center" vertical="center"/>
    </xf>
    <xf numFmtId="0" fontId="0" fillId="4" borderId="96" xfId="0" applyFill="1" applyBorder="1" applyAlignment="1">
      <alignment horizontal="right" vertical="center"/>
    </xf>
    <xf numFmtId="0" fontId="0" fillId="4" borderId="97" xfId="0" applyFill="1" applyBorder="1" applyAlignment="1">
      <alignment vertical="center"/>
    </xf>
    <xf numFmtId="0" fontId="0" fillId="4" borderId="101" xfId="0" applyFill="1" applyBorder="1" applyAlignment="1">
      <alignment horizontal="center" vertical="center"/>
    </xf>
    <xf numFmtId="0" fontId="0" fillId="4" borderId="102" xfId="0" applyFill="1" applyBorder="1" applyAlignment="1">
      <alignment horizontal="center" vertical="center"/>
    </xf>
    <xf numFmtId="0" fontId="0" fillId="4" borderId="15" xfId="0" applyFill="1" applyBorder="1" applyAlignment="1">
      <alignment horizontal="center" vertical="center"/>
    </xf>
    <xf numFmtId="14" fontId="0" fillId="4" borderId="40" xfId="0" applyNumberFormat="1" applyFill="1" applyBorder="1" applyAlignment="1">
      <alignment horizontal="center" vertical="center"/>
    </xf>
    <xf numFmtId="1" fontId="0" fillId="4" borderId="40" xfId="0" applyNumberFormat="1" applyFill="1" applyBorder="1" applyAlignment="1">
      <alignment horizontal="center" vertical="center"/>
    </xf>
    <xf numFmtId="0" fontId="0" fillId="22" borderId="40" xfId="0" applyFill="1" applyBorder="1" applyAlignment="1">
      <alignment horizontal="center" vertical="center" wrapText="1"/>
    </xf>
    <xf numFmtId="0" fontId="0" fillId="16" borderId="32" xfId="0" applyFill="1" applyBorder="1" applyAlignment="1">
      <alignment horizontal="center" vertical="center"/>
    </xf>
    <xf numFmtId="0" fontId="0" fillId="16" borderId="18" xfId="0" applyFill="1" applyBorder="1" applyAlignment="1">
      <alignment horizontal="center" vertical="center"/>
    </xf>
    <xf numFmtId="0" fontId="0" fillId="4" borderId="104" xfId="0" applyFill="1" applyBorder="1" applyAlignment="1">
      <alignment horizontal="center" vertical="center"/>
    </xf>
    <xf numFmtId="0" fontId="0" fillId="4" borderId="29" xfId="0" applyFill="1" applyBorder="1" applyAlignment="1">
      <alignment horizontal="center" vertical="center"/>
    </xf>
    <xf numFmtId="0" fontId="0" fillId="4" borderId="63" xfId="0" applyFill="1" applyBorder="1" applyAlignment="1">
      <alignment horizontal="center" vertical="center"/>
    </xf>
    <xf numFmtId="0" fontId="0" fillId="4" borderId="106" xfId="0" applyFill="1" applyBorder="1" applyAlignment="1">
      <alignment horizontal="center" vertical="center"/>
    </xf>
    <xf numFmtId="0" fontId="0" fillId="4" borderId="107" xfId="0" applyFill="1" applyBorder="1" applyAlignment="1">
      <alignment horizontal="center" vertical="center"/>
    </xf>
    <xf numFmtId="0" fontId="0" fillId="4" borderId="109" xfId="0" applyFill="1" applyBorder="1" applyAlignment="1">
      <alignment horizontal="center" vertical="center"/>
    </xf>
    <xf numFmtId="0" fontId="0" fillId="22" borderId="108" xfId="0" applyFill="1" applyBorder="1" applyAlignment="1">
      <alignment horizontal="center" vertical="center" wrapText="1"/>
    </xf>
    <xf numFmtId="0" fontId="0" fillId="22" borderId="105" xfId="0" applyFill="1" applyBorder="1" applyAlignment="1">
      <alignment horizontal="center" vertical="center" wrapText="1"/>
    </xf>
    <xf numFmtId="0" fontId="0" fillId="9" borderId="33" xfId="0" applyFill="1" applyBorder="1" applyAlignment="1">
      <alignment horizontal="center" vertical="center"/>
    </xf>
    <xf numFmtId="0" fontId="0" fillId="28" borderId="40" xfId="0" applyFill="1" applyBorder="1" applyAlignment="1">
      <alignment horizontal="center" vertical="center" wrapText="1"/>
    </xf>
    <xf numFmtId="0" fontId="0" fillId="4" borderId="89" xfId="0" applyFill="1" applyBorder="1" applyAlignment="1">
      <alignment horizontal="center" vertical="center"/>
    </xf>
    <xf numFmtId="0" fontId="0" fillId="4" borderId="87" xfId="0" applyFill="1" applyBorder="1" applyAlignment="1">
      <alignment horizontal="center" vertical="center"/>
    </xf>
    <xf numFmtId="0" fontId="0" fillId="4" borderId="88" xfId="0" applyFill="1" applyBorder="1" applyAlignment="1">
      <alignment horizontal="center" vertical="center"/>
    </xf>
    <xf numFmtId="0" fontId="0" fillId="4" borderId="33" xfId="0" applyFill="1" applyBorder="1" applyAlignment="1">
      <alignment horizontal="center" vertical="center"/>
    </xf>
    <xf numFmtId="0" fontId="0" fillId="12" borderId="40" xfId="0" applyFill="1" applyBorder="1" applyAlignment="1">
      <alignment horizontal="center" vertical="center"/>
    </xf>
    <xf numFmtId="0" fontId="0" fillId="4" borderId="86" xfId="0" applyFill="1" applyBorder="1" applyAlignment="1">
      <alignment horizontal="center" vertical="center"/>
    </xf>
    <xf numFmtId="0" fontId="0" fillId="4" borderId="17" xfId="0" applyFill="1" applyBorder="1" applyAlignment="1">
      <alignment horizontal="center" vertical="center"/>
    </xf>
    <xf numFmtId="0" fontId="0" fillId="7" borderId="111" xfId="0" applyFill="1" applyBorder="1" applyAlignment="1">
      <alignment horizontal="center" vertical="center"/>
    </xf>
    <xf numFmtId="0" fontId="0" fillId="7" borderId="112" xfId="0" applyFill="1" applyBorder="1" applyAlignment="1">
      <alignment horizontal="center" vertical="center"/>
    </xf>
    <xf numFmtId="0" fontId="0" fillId="7" borderId="113" xfId="0" applyFill="1" applyBorder="1" applyAlignment="1">
      <alignment horizontal="center" vertical="center"/>
    </xf>
    <xf numFmtId="0" fontId="0" fillId="6" borderId="111" xfId="0" applyFill="1" applyBorder="1" applyAlignment="1">
      <alignment horizontal="center" vertical="center"/>
    </xf>
    <xf numFmtId="0" fontId="0" fillId="6" borderId="113" xfId="0" applyFill="1" applyBorder="1" applyAlignment="1">
      <alignment horizontal="center" vertical="center"/>
    </xf>
    <xf numFmtId="0" fontId="0" fillId="19" borderId="86" xfId="0" applyFill="1" applyBorder="1" applyAlignment="1">
      <alignment horizontal="center" vertical="center"/>
    </xf>
    <xf numFmtId="0" fontId="0" fillId="10" borderId="86" xfId="0" applyFill="1" applyBorder="1" applyAlignment="1">
      <alignment horizontal="center" vertical="center"/>
    </xf>
    <xf numFmtId="0" fontId="0" fillId="4" borderId="110" xfId="0" applyFill="1" applyBorder="1" applyAlignment="1">
      <alignment horizontal="center" vertical="center"/>
    </xf>
    <xf numFmtId="0" fontId="0" fillId="4" borderId="0" xfId="0" applyFill="1" applyAlignment="1">
      <alignment horizontal="center" vertical="center"/>
    </xf>
    <xf numFmtId="0" fontId="0" fillId="7" borderId="114" xfId="0" applyFill="1" applyBorder="1" applyAlignment="1">
      <alignment horizontal="center" vertical="center"/>
    </xf>
    <xf numFmtId="0" fontId="0" fillId="7" borderId="24" xfId="0" applyFill="1" applyBorder="1" applyAlignment="1">
      <alignment horizontal="center" vertical="center"/>
    </xf>
    <xf numFmtId="0" fontId="0" fillId="7" borderId="115" xfId="0" applyFill="1" applyBorder="1" applyAlignment="1">
      <alignment horizontal="center" vertical="center"/>
    </xf>
    <xf numFmtId="0" fontId="0" fillId="6" borderId="114" xfId="0" applyFill="1" applyBorder="1" applyAlignment="1">
      <alignment horizontal="center" vertical="center"/>
    </xf>
    <xf numFmtId="0" fontId="0" fillId="6" borderId="115" xfId="0" applyFill="1" applyBorder="1" applyAlignment="1">
      <alignment horizontal="center" vertical="center"/>
    </xf>
    <xf numFmtId="0" fontId="0" fillId="19" borderId="110" xfId="0" applyFill="1" applyBorder="1" applyAlignment="1">
      <alignment horizontal="center" vertical="center"/>
    </xf>
    <xf numFmtId="0" fontId="0" fillId="10" borderId="110" xfId="0" applyFill="1" applyBorder="1" applyAlignment="1">
      <alignment horizontal="center" vertical="center"/>
    </xf>
    <xf numFmtId="0" fontId="0" fillId="16" borderId="111" xfId="0" applyFill="1" applyBorder="1" applyAlignment="1">
      <alignment horizontal="center" vertical="center"/>
    </xf>
    <xf numFmtId="0" fontId="0" fillId="16" borderId="112" xfId="0" applyFill="1" applyBorder="1" applyAlignment="1">
      <alignment horizontal="center" vertical="center"/>
    </xf>
    <xf numFmtId="0" fontId="0" fillId="16" borderId="113" xfId="0" applyFill="1" applyBorder="1" applyAlignment="1">
      <alignment horizontal="center" vertical="center"/>
    </xf>
    <xf numFmtId="0" fontId="0" fillId="5" borderId="111" xfId="0" applyFill="1" applyBorder="1" applyAlignment="1">
      <alignment horizontal="center" vertical="center"/>
    </xf>
    <xf numFmtId="0" fontId="0" fillId="5" borderId="113" xfId="0" applyFill="1" applyBorder="1" applyAlignment="1">
      <alignment horizontal="center" vertical="center"/>
    </xf>
    <xf numFmtId="0" fontId="0" fillId="8" borderId="86" xfId="0" applyFill="1" applyBorder="1" applyAlignment="1">
      <alignment horizontal="center" vertical="center"/>
    </xf>
    <xf numFmtId="0" fontId="0" fillId="9" borderId="86" xfId="0" applyFill="1" applyBorder="1" applyAlignment="1">
      <alignment horizontal="center" vertical="center"/>
    </xf>
    <xf numFmtId="0" fontId="0" fillId="16" borderId="114" xfId="0" applyFill="1" applyBorder="1" applyAlignment="1">
      <alignment horizontal="center" vertical="center"/>
    </xf>
    <xf numFmtId="0" fontId="0" fillId="16" borderId="24" xfId="0" applyFill="1" applyBorder="1" applyAlignment="1">
      <alignment horizontal="center" vertical="center"/>
    </xf>
    <xf numFmtId="0" fontId="0" fillId="16" borderId="115" xfId="0" applyFill="1" applyBorder="1" applyAlignment="1">
      <alignment horizontal="center" vertical="center"/>
    </xf>
    <xf numFmtId="0" fontId="0" fillId="5" borderId="114" xfId="0" applyFill="1" applyBorder="1" applyAlignment="1">
      <alignment horizontal="center" vertical="center"/>
    </xf>
    <xf numFmtId="0" fontId="0" fillId="5" borderId="115" xfId="0" applyFill="1" applyBorder="1" applyAlignment="1">
      <alignment horizontal="center" vertical="center"/>
    </xf>
    <xf numFmtId="0" fontId="0" fillId="8" borderId="110" xfId="0" applyFill="1" applyBorder="1" applyAlignment="1">
      <alignment horizontal="center" vertical="center"/>
    </xf>
    <xf numFmtId="0" fontId="0" fillId="9" borderId="110" xfId="0" applyFill="1" applyBorder="1" applyAlignment="1">
      <alignment horizontal="center" vertical="center"/>
    </xf>
    <xf numFmtId="0" fontId="0" fillId="4" borderId="51" xfId="0" applyFill="1" applyBorder="1" applyAlignment="1">
      <alignment horizontal="center" vertical="center"/>
    </xf>
    <xf numFmtId="0" fontId="0" fillId="4" borderId="22" xfId="0" applyFill="1" applyBorder="1" applyAlignment="1">
      <alignment horizontal="center" vertical="center"/>
    </xf>
    <xf numFmtId="0" fontId="0" fillId="16" borderId="116" xfId="0" applyFill="1" applyBorder="1" applyAlignment="1">
      <alignment horizontal="center" vertical="center"/>
    </xf>
    <xf numFmtId="0" fontId="0" fillId="16" borderId="117" xfId="0" applyFill="1" applyBorder="1" applyAlignment="1">
      <alignment horizontal="center" vertical="center"/>
    </xf>
    <xf numFmtId="0" fontId="0" fillId="16" borderId="118" xfId="0" applyFill="1" applyBorder="1" applyAlignment="1">
      <alignment horizontal="center" vertical="center"/>
    </xf>
    <xf numFmtId="0" fontId="0" fillId="5" borderId="116" xfId="0" applyFill="1" applyBorder="1" applyAlignment="1">
      <alignment horizontal="center" vertical="center"/>
    </xf>
    <xf numFmtId="0" fontId="0" fillId="5" borderId="118" xfId="0" applyFill="1" applyBorder="1" applyAlignment="1">
      <alignment horizontal="center" vertical="center"/>
    </xf>
    <xf numFmtId="0" fontId="0" fillId="8" borderId="51" xfId="0" applyFill="1" applyBorder="1" applyAlignment="1">
      <alignment horizontal="center" vertical="center"/>
    </xf>
    <xf numFmtId="0" fontId="0" fillId="9" borderId="51" xfId="0" applyFill="1" applyBorder="1" applyAlignment="1">
      <alignment horizontal="center" vertical="center"/>
    </xf>
    <xf numFmtId="0" fontId="34" fillId="4" borderId="15" xfId="0" applyFont="1" applyFill="1" applyBorder="1" applyAlignment="1">
      <alignment horizontal="center" vertical="center"/>
    </xf>
    <xf numFmtId="0" fontId="28" fillId="31" borderId="15" xfId="0" applyFont="1" applyFill="1" applyBorder="1" applyAlignment="1">
      <alignment horizontal="left" vertical="center"/>
    </xf>
    <xf numFmtId="0" fontId="0" fillId="2" borderId="0" xfId="0" applyFill="1" applyAlignment="1">
      <alignment horizontal="left" vertical="center"/>
    </xf>
    <xf numFmtId="0" fontId="28" fillId="30" borderId="15" xfId="0" applyFont="1" applyFill="1" applyBorder="1" applyAlignment="1">
      <alignment horizontal="left" vertical="center"/>
    </xf>
    <xf numFmtId="0" fontId="0" fillId="2" borderId="0" xfId="0" applyFill="1" applyAlignment="1">
      <alignment horizontal="right" vertical="center"/>
    </xf>
    <xf numFmtId="0" fontId="0" fillId="4" borderId="31" xfId="0" applyFill="1" applyBorder="1" applyAlignment="1">
      <alignment horizontal="center" vertical="center"/>
    </xf>
    <xf numFmtId="0" fontId="0" fillId="26" borderId="89" xfId="0" applyFill="1" applyBorder="1" applyAlignment="1">
      <alignment horizontal="center" vertical="center"/>
    </xf>
    <xf numFmtId="0" fontId="0" fillId="26" borderId="87" xfId="0" applyFill="1" applyBorder="1" applyAlignment="1">
      <alignment horizontal="center" vertical="center"/>
    </xf>
    <xf numFmtId="0" fontId="0" fillId="26" borderId="88" xfId="0" applyFill="1" applyBorder="1" applyAlignment="1">
      <alignment horizontal="center" vertical="center"/>
    </xf>
    <xf numFmtId="0" fontId="0" fillId="27" borderId="40" xfId="0" applyFill="1" applyBorder="1" applyAlignment="1">
      <alignment horizontal="center" vertical="center"/>
    </xf>
    <xf numFmtId="0" fontId="0" fillId="8" borderId="40" xfId="0" applyFill="1" applyBorder="1" applyAlignment="1">
      <alignment horizontal="center" vertical="center"/>
    </xf>
    <xf numFmtId="0" fontId="35" fillId="2" borderId="0" xfId="0" applyFont="1" applyFill="1"/>
    <xf numFmtId="0" fontId="0" fillId="2" borderId="0" xfId="0" applyFill="1" applyAlignment="1">
      <alignment horizontal="center"/>
    </xf>
    <xf numFmtId="0" fontId="28" fillId="30" borderId="40" xfId="0" applyFont="1" applyFill="1" applyBorder="1" applyAlignment="1">
      <alignment vertical="center"/>
    </xf>
    <xf numFmtId="0" fontId="0" fillId="2" borderId="21" xfId="0" applyFill="1" applyBorder="1" applyAlignment="1">
      <alignment horizontal="center" vertical="center"/>
    </xf>
    <xf numFmtId="0" fontId="0" fillId="2" borderId="51" xfId="0" applyFill="1" applyBorder="1" applyAlignment="1">
      <alignment horizontal="center" vertical="center"/>
    </xf>
    <xf numFmtId="0" fontId="0" fillId="2" borderId="22" xfId="0" applyFill="1" applyBorder="1" applyAlignment="1">
      <alignment horizontal="center" vertical="center"/>
    </xf>
    <xf numFmtId="0" fontId="0" fillId="19" borderId="116" xfId="0" applyFill="1" applyBorder="1" applyAlignment="1">
      <alignment horizontal="center" vertical="center"/>
    </xf>
    <xf numFmtId="0" fontId="0" fillId="19" borderId="117" xfId="0" applyFill="1" applyBorder="1" applyAlignment="1">
      <alignment horizontal="center" vertical="center"/>
    </xf>
    <xf numFmtId="0" fontId="0" fillId="19" borderId="118" xfId="0" applyFill="1" applyBorder="1" applyAlignment="1">
      <alignment horizontal="center" vertical="center"/>
    </xf>
    <xf numFmtId="0" fontId="0" fillId="6" borderId="116" xfId="0" applyFill="1" applyBorder="1" applyAlignment="1">
      <alignment horizontal="center" vertical="center"/>
    </xf>
    <xf numFmtId="0" fontId="0" fillId="6" borderId="117" xfId="0" applyFill="1" applyBorder="1" applyAlignment="1">
      <alignment horizontal="center" vertical="center"/>
    </xf>
    <xf numFmtId="0" fontId="0" fillId="6" borderId="118" xfId="0" applyFill="1" applyBorder="1" applyAlignment="1">
      <alignment horizontal="center" vertical="center"/>
    </xf>
    <xf numFmtId="0" fontId="0" fillId="29" borderId="31" xfId="0" applyFill="1" applyBorder="1" applyAlignment="1">
      <alignment horizontal="center" vertical="center"/>
    </xf>
    <xf numFmtId="0" fontId="0" fillId="29" borderId="40" xfId="0" applyFill="1" applyBorder="1" applyAlignment="1">
      <alignment horizontal="center" vertical="center"/>
    </xf>
    <xf numFmtId="0" fontId="0" fillId="29" borderId="32" xfId="0" applyFill="1" applyBorder="1" applyAlignment="1">
      <alignment horizontal="center" vertical="center"/>
    </xf>
    <xf numFmtId="0" fontId="0" fillId="4" borderId="68" xfId="0" applyFill="1" applyBorder="1" applyAlignment="1">
      <alignment vertical="center"/>
    </xf>
    <xf numFmtId="0" fontId="0" fillId="4" borderId="29" xfId="0" applyFill="1" applyBorder="1" applyAlignment="1">
      <alignment vertical="center"/>
    </xf>
    <xf numFmtId="0" fontId="0" fillId="4" borderId="70" xfId="0" applyFill="1" applyBorder="1" applyAlignment="1">
      <alignment vertical="center"/>
    </xf>
    <xf numFmtId="0" fontId="0" fillId="4" borderId="63" xfId="0" applyFill="1" applyBorder="1" applyAlignment="1">
      <alignment vertical="center"/>
    </xf>
    <xf numFmtId="0" fontId="0" fillId="3" borderId="93" xfId="0" applyFill="1" applyBorder="1" applyAlignment="1">
      <alignment vertical="center"/>
    </xf>
    <xf numFmtId="0" fontId="0" fillId="3" borderId="68" xfId="0" applyFill="1" applyBorder="1" applyAlignment="1">
      <alignment vertical="center"/>
    </xf>
    <xf numFmtId="0" fontId="14" fillId="3" borderId="93" xfId="0" applyFont="1" applyFill="1" applyBorder="1" applyAlignment="1">
      <alignment vertical="center"/>
    </xf>
    <xf numFmtId="0" fontId="14" fillId="4" borderId="68" xfId="0" applyFont="1" applyFill="1" applyBorder="1" applyAlignment="1">
      <alignment vertical="center"/>
    </xf>
    <xf numFmtId="0" fontId="14" fillId="3" borderId="68" xfId="0" applyFont="1" applyFill="1" applyBorder="1" applyAlignment="1">
      <alignment vertical="center"/>
    </xf>
    <xf numFmtId="0" fontId="14" fillId="4" borderId="70" xfId="0" applyFont="1" applyFill="1" applyBorder="1" applyAlignment="1">
      <alignment vertical="center"/>
    </xf>
    <xf numFmtId="0" fontId="13" fillId="3" borderId="96" xfId="0" applyFont="1" applyFill="1" applyBorder="1" applyAlignment="1">
      <alignment vertical="center"/>
    </xf>
    <xf numFmtId="0" fontId="13" fillId="4" borderId="72" xfId="0" applyFont="1" applyFill="1" applyBorder="1" applyAlignment="1">
      <alignment vertical="center"/>
    </xf>
    <xf numFmtId="0" fontId="13" fillId="3" borderId="72" xfId="0" applyFont="1" applyFill="1" applyBorder="1" applyAlignment="1">
      <alignment vertical="center"/>
    </xf>
    <xf numFmtId="0" fontId="13" fillId="4" borderId="73" xfId="0" applyFont="1" applyFill="1" applyBorder="1" applyAlignment="1">
      <alignment vertical="center"/>
    </xf>
    <xf numFmtId="0" fontId="0" fillId="3" borderId="98" xfId="0" applyFill="1" applyBorder="1" applyAlignment="1">
      <alignment horizontal="center" vertical="center"/>
    </xf>
    <xf numFmtId="0" fontId="0" fillId="3" borderId="15" xfId="0" applyFill="1" applyBorder="1" applyAlignment="1">
      <alignment horizontal="center" vertical="center"/>
    </xf>
    <xf numFmtId="0" fontId="0" fillId="4" borderId="64" xfId="0" applyFill="1" applyBorder="1" applyAlignment="1">
      <alignment horizontal="center" vertical="center"/>
    </xf>
    <xf numFmtId="0" fontId="0" fillId="3" borderId="99" xfId="0" applyFill="1" applyBorder="1" applyAlignment="1">
      <alignment horizontal="center" vertical="center"/>
    </xf>
    <xf numFmtId="0" fontId="0" fillId="4" borderId="77" xfId="0" applyFill="1" applyBorder="1" applyAlignment="1">
      <alignment horizontal="center" vertical="center"/>
    </xf>
    <xf numFmtId="0" fontId="0" fillId="3" borderId="77" xfId="0" applyFill="1" applyBorder="1" applyAlignment="1">
      <alignment horizontal="center" vertical="center"/>
    </xf>
    <xf numFmtId="0" fontId="0" fillId="4" borderId="79" xfId="0" applyFill="1" applyBorder="1" applyAlignment="1">
      <alignment horizontal="center" vertical="center"/>
    </xf>
    <xf numFmtId="0" fontId="0" fillId="3" borderId="103" xfId="0" applyFill="1" applyBorder="1" applyAlignment="1">
      <alignment horizontal="center" vertical="center"/>
    </xf>
    <xf numFmtId="0" fontId="0" fillId="3" borderId="81" xfId="0" applyFill="1" applyBorder="1" applyAlignment="1">
      <alignment horizontal="center" vertical="center"/>
    </xf>
    <xf numFmtId="0" fontId="0" fillId="23" borderId="77" xfId="0" applyFill="1" applyBorder="1" applyAlignment="1">
      <alignment horizontal="center" vertical="center"/>
    </xf>
    <xf numFmtId="0" fontId="0" fillId="23" borderId="0" xfId="0" applyFill="1" applyAlignment="1">
      <alignment horizontal="center"/>
    </xf>
    <xf numFmtId="0" fontId="0" fillId="23" borderId="0" xfId="0" applyFill="1" applyAlignment="1">
      <alignment horizontal="left"/>
    </xf>
    <xf numFmtId="0" fontId="0" fillId="23" borderId="0" xfId="0" applyFill="1" applyAlignment="1">
      <alignment horizontal="center" vertical="center"/>
    </xf>
    <xf numFmtId="0" fontId="0" fillId="32" borderId="81" xfId="0" applyFill="1" applyBorder="1" applyAlignment="1">
      <alignment horizontal="center" vertical="center"/>
    </xf>
    <xf numFmtId="0" fontId="0" fillId="32" borderId="77" xfId="0" applyFill="1" applyBorder="1" applyAlignment="1">
      <alignment horizontal="center" vertical="center"/>
    </xf>
    <xf numFmtId="0" fontId="0" fillId="32" borderId="0" xfId="0" applyFill="1" applyAlignment="1">
      <alignment horizontal="center"/>
    </xf>
    <xf numFmtId="0" fontId="0" fillId="32" borderId="0" xfId="0" applyFill="1" applyAlignment="1">
      <alignment horizontal="center" vertical="center"/>
    </xf>
    <xf numFmtId="0" fontId="0" fillId="32" borderId="15" xfId="0" applyFill="1" applyBorder="1" applyAlignment="1">
      <alignment horizontal="center" vertical="center"/>
    </xf>
    <xf numFmtId="0" fontId="0" fillId="33" borderId="77" xfId="0" applyFill="1" applyBorder="1" applyAlignment="1">
      <alignment horizontal="center" vertical="center"/>
    </xf>
    <xf numFmtId="0" fontId="0" fillId="0" borderId="15" xfId="0" applyBorder="1" applyAlignment="1">
      <alignment horizontal="center" vertical="center"/>
    </xf>
    <xf numFmtId="0" fontId="0" fillId="3" borderId="93" xfId="0" applyFill="1" applyBorder="1" applyAlignment="1">
      <alignment horizontal="center" vertical="center"/>
    </xf>
    <xf numFmtId="0" fontId="0" fillId="3" borderId="68" xfId="0" applyFill="1" applyBorder="1" applyAlignment="1">
      <alignment horizontal="center" vertical="center"/>
    </xf>
    <xf numFmtId="0" fontId="12" fillId="3" borderId="72" xfId="0" applyFont="1" applyFill="1" applyBorder="1" applyAlignment="1">
      <alignment vertical="center"/>
    </xf>
    <xf numFmtId="0" fontId="0" fillId="4" borderId="8" xfId="0" applyFill="1" applyBorder="1" applyAlignment="1">
      <alignment horizontal="center" vertical="center"/>
    </xf>
    <xf numFmtId="0" fontId="0" fillId="4" borderId="13" xfId="0" applyFill="1" applyBorder="1" applyAlignment="1">
      <alignment horizontal="center" vertical="center"/>
    </xf>
    <xf numFmtId="0" fontId="0" fillId="34" borderId="17" xfId="0" applyFill="1" applyBorder="1" applyAlignment="1">
      <alignment horizontal="center" vertical="center"/>
    </xf>
    <xf numFmtId="0" fontId="0" fillId="3" borderId="67" xfId="0" applyFill="1" applyBorder="1" applyAlignment="1">
      <alignment vertical="center"/>
    </xf>
    <xf numFmtId="0" fontId="0" fillId="3" borderId="100" xfId="0" applyFill="1" applyBorder="1" applyAlignment="1">
      <alignment horizontal="center" vertical="center"/>
    </xf>
    <xf numFmtId="0" fontId="0" fillId="3" borderId="62" xfId="0" applyFill="1" applyBorder="1" applyAlignment="1">
      <alignment horizontal="center" vertical="center"/>
    </xf>
    <xf numFmtId="0" fontId="0" fillId="11" borderId="40" xfId="0" applyFill="1" applyBorder="1" applyAlignment="1">
      <alignment horizontal="center" vertical="center"/>
    </xf>
    <xf numFmtId="0" fontId="0" fillId="4" borderId="100" xfId="0" applyFill="1" applyBorder="1" applyAlignment="1">
      <alignment horizontal="center" vertical="center"/>
    </xf>
    <xf numFmtId="0" fontId="14" fillId="7" borderId="119" xfId="0" applyFont="1" applyFill="1" applyBorder="1" applyAlignment="1">
      <alignment horizontal="center" vertical="center"/>
    </xf>
    <xf numFmtId="0" fontId="0" fillId="4" borderId="103" xfId="0" applyFill="1" applyBorder="1" applyAlignment="1">
      <alignment horizontal="center" vertical="center"/>
    </xf>
    <xf numFmtId="0" fontId="0" fillId="4" borderId="80" xfId="0" applyFill="1" applyBorder="1" applyAlignment="1">
      <alignment horizontal="center" vertical="center"/>
    </xf>
    <xf numFmtId="0" fontId="0" fillId="4" borderId="82" xfId="0" applyFill="1" applyBorder="1" applyAlignment="1">
      <alignment horizontal="center" vertical="center"/>
    </xf>
    <xf numFmtId="0" fontId="11" fillId="3" borderId="72" xfId="0" applyFont="1" applyFill="1" applyBorder="1" applyAlignment="1">
      <alignment vertical="center"/>
    </xf>
    <xf numFmtId="0" fontId="0" fillId="23" borderId="68" xfId="0" applyFill="1" applyBorder="1" applyAlignment="1">
      <alignment horizontal="center" vertical="center"/>
    </xf>
    <xf numFmtId="0" fontId="0" fillId="23" borderId="62" xfId="0" applyFill="1" applyBorder="1" applyAlignment="1">
      <alignment horizontal="center" vertical="center"/>
    </xf>
    <xf numFmtId="0" fontId="0" fillId="33" borderId="68" xfId="0" applyFill="1" applyBorder="1" applyAlignment="1">
      <alignment horizontal="center" vertical="center"/>
    </xf>
    <xf numFmtId="0" fontId="0" fillId="33" borderId="62" xfId="0" applyFill="1" applyBorder="1" applyAlignment="1">
      <alignment horizontal="center" vertical="center"/>
    </xf>
    <xf numFmtId="0" fontId="0" fillId="2" borderId="0" xfId="0" applyFill="1" applyAlignment="1">
      <alignment horizontal="left"/>
    </xf>
    <xf numFmtId="0" fontId="0" fillId="12" borderId="86" xfId="0" applyFill="1" applyBorder="1" applyAlignment="1">
      <alignment vertical="center" wrapText="1"/>
    </xf>
    <xf numFmtId="0" fontId="0" fillId="31" borderId="40" xfId="0" applyFill="1" applyBorder="1" applyAlignment="1">
      <alignment vertical="center"/>
    </xf>
    <xf numFmtId="0" fontId="0" fillId="24" borderId="15" xfId="0" applyFill="1" applyBorder="1" applyAlignment="1">
      <alignment horizontal="center" vertical="center" wrapText="1"/>
    </xf>
    <xf numFmtId="0" fontId="0" fillId="4" borderId="39" xfId="0" applyFill="1" applyBorder="1" applyAlignment="1">
      <alignment horizontal="left" vertical="center"/>
    </xf>
    <xf numFmtId="0" fontId="0" fillId="32" borderId="3" xfId="0" applyFill="1" applyBorder="1" applyAlignment="1">
      <alignment horizontal="center" vertical="center"/>
    </xf>
    <xf numFmtId="0" fontId="0" fillId="32" borderId="2" xfId="0" applyFill="1" applyBorder="1" applyAlignment="1">
      <alignment horizontal="center" vertical="center"/>
    </xf>
    <xf numFmtId="0" fontId="0" fillId="32" borderId="0" xfId="0" applyFill="1" applyAlignment="1">
      <alignment horizontal="left" vertical="center" wrapText="1"/>
    </xf>
    <xf numFmtId="0" fontId="10" fillId="3" borderId="72" xfId="0" applyFont="1" applyFill="1" applyBorder="1" applyAlignment="1">
      <alignment vertical="center"/>
    </xf>
    <xf numFmtId="0" fontId="0" fillId="15" borderId="0" xfId="0" applyFill="1" applyAlignment="1">
      <alignment horizontal="center"/>
    </xf>
    <xf numFmtId="0" fontId="0" fillId="33" borderId="0" xfId="0" applyFill="1" applyAlignment="1">
      <alignment vertical="top" wrapText="1"/>
    </xf>
    <xf numFmtId="0" fontId="0" fillId="33" borderId="2" xfId="0" applyFill="1" applyBorder="1" applyAlignment="1">
      <alignment horizontal="center" vertical="center"/>
    </xf>
    <xf numFmtId="0" fontId="0" fillId="33" borderId="3" xfId="0" applyFill="1" applyBorder="1" applyAlignment="1">
      <alignment horizontal="center" vertical="center"/>
    </xf>
    <xf numFmtId="0" fontId="0" fillId="0" borderId="0" xfId="0" applyAlignment="1">
      <alignment horizontal="left" vertical="center"/>
    </xf>
    <xf numFmtId="0" fontId="0" fillId="33" borderId="81" xfId="0" applyFill="1" applyBorder="1" applyAlignment="1">
      <alignment horizontal="center" vertical="center"/>
    </xf>
    <xf numFmtId="0" fontId="0" fillId="33" borderId="69" xfId="0" applyFill="1" applyBorder="1" applyAlignment="1">
      <alignment horizontal="center" vertical="center"/>
    </xf>
    <xf numFmtId="0" fontId="0" fillId="21" borderId="15" xfId="0" applyFill="1" applyBorder="1" applyAlignment="1">
      <alignment vertical="center"/>
    </xf>
    <xf numFmtId="0" fontId="0" fillId="25" borderId="24" xfId="0" applyFill="1" applyBorder="1" applyAlignment="1">
      <alignment vertical="center"/>
    </xf>
    <xf numFmtId="0" fontId="0" fillId="4" borderId="24" xfId="0" applyFill="1" applyBorder="1" applyAlignment="1">
      <alignment horizontal="center" vertical="center"/>
    </xf>
    <xf numFmtId="1" fontId="0" fillId="4" borderId="24" xfId="0" applyNumberFormat="1" applyFill="1" applyBorder="1" applyAlignment="1">
      <alignment vertical="center"/>
    </xf>
    <xf numFmtId="0" fontId="0" fillId="25" borderId="12" xfId="0" applyFill="1" applyBorder="1" applyAlignment="1">
      <alignment vertical="center"/>
    </xf>
    <xf numFmtId="1" fontId="0" fillId="4" borderId="25" xfId="0" applyNumberFormat="1" applyFill="1" applyBorder="1" applyAlignment="1">
      <alignment horizontal="center" vertical="center"/>
    </xf>
    <xf numFmtId="0" fontId="0" fillId="23" borderId="15" xfId="0" applyFill="1" applyBorder="1" applyAlignment="1">
      <alignment horizontal="center" vertical="center"/>
    </xf>
    <xf numFmtId="0" fontId="0" fillId="4" borderId="26" xfId="0" applyFill="1" applyBorder="1" applyAlignment="1">
      <alignment vertical="center"/>
    </xf>
    <xf numFmtId="0" fontId="0" fillId="4" borderId="15" xfId="0" applyFill="1" applyBorder="1" applyAlignment="1">
      <alignment vertical="center"/>
    </xf>
    <xf numFmtId="0" fontId="0" fillId="22" borderId="15" xfId="0" applyFill="1" applyBorder="1" applyAlignment="1">
      <alignment vertical="center"/>
    </xf>
    <xf numFmtId="164" fontId="0" fillId="4" borderId="15" xfId="0" applyNumberFormat="1" applyFill="1" applyBorder="1" applyAlignment="1">
      <alignment horizontal="center" vertical="center"/>
    </xf>
    <xf numFmtId="0" fontId="0" fillId="4" borderId="15" xfId="0" applyFill="1" applyBorder="1" applyAlignment="1">
      <alignment horizontal="left" vertical="center"/>
    </xf>
    <xf numFmtId="0" fontId="0" fillId="4" borderId="15" xfId="0" applyFill="1" applyBorder="1" applyAlignment="1">
      <alignment horizontal="right" vertical="center"/>
    </xf>
    <xf numFmtId="0" fontId="0" fillId="33" borderId="38" xfId="0" applyFill="1" applyBorder="1" applyAlignment="1">
      <alignment horizontal="center" vertical="center"/>
    </xf>
    <xf numFmtId="0" fontId="9" fillId="3" borderId="72" xfId="0" applyFont="1" applyFill="1" applyBorder="1" applyAlignment="1">
      <alignment vertical="center"/>
    </xf>
    <xf numFmtId="0" fontId="8" fillId="3" borderId="72" xfId="0" applyFont="1" applyFill="1" applyBorder="1" applyAlignment="1">
      <alignment vertical="center"/>
    </xf>
    <xf numFmtId="0" fontId="0" fillId="4" borderId="37" xfId="0" applyFill="1" applyBorder="1" applyAlignment="1">
      <alignment horizontal="center" vertical="center"/>
    </xf>
    <xf numFmtId="0" fontId="0" fillId="4" borderId="78" xfId="0" applyFill="1" applyBorder="1" applyAlignment="1">
      <alignment horizontal="center" vertical="center"/>
    </xf>
    <xf numFmtId="0" fontId="0" fillId="4" borderId="27" xfId="0" applyFill="1" applyBorder="1" applyAlignment="1">
      <alignment horizontal="center" vertical="center"/>
    </xf>
    <xf numFmtId="0" fontId="0" fillId="33" borderId="37" xfId="0" applyFill="1" applyBorder="1" applyAlignment="1">
      <alignment horizontal="center" vertical="center"/>
    </xf>
    <xf numFmtId="0" fontId="0" fillId="33" borderId="78" xfId="0" applyFill="1" applyBorder="1" applyAlignment="1">
      <alignment horizontal="center" vertical="center"/>
    </xf>
    <xf numFmtId="0" fontId="7" fillId="33" borderId="72" xfId="0" applyFont="1" applyFill="1" applyBorder="1" applyAlignment="1">
      <alignment horizontal="right"/>
    </xf>
    <xf numFmtId="0" fontId="0" fillId="33" borderId="15" xfId="0" applyFill="1" applyBorder="1" applyAlignment="1">
      <alignment horizontal="center" vertical="center"/>
    </xf>
    <xf numFmtId="0" fontId="14" fillId="33" borderId="68" xfId="0" applyFont="1" applyFill="1" applyBorder="1" applyAlignment="1">
      <alignment vertical="center"/>
    </xf>
    <xf numFmtId="0" fontId="0" fillId="33" borderId="68" xfId="0" applyFill="1" applyBorder="1" applyAlignment="1">
      <alignment vertical="center"/>
    </xf>
    <xf numFmtId="0" fontId="28" fillId="20" borderId="15" xfId="0" applyFont="1" applyFill="1" applyBorder="1" applyAlignment="1">
      <alignment horizontal="left" vertical="center"/>
    </xf>
    <xf numFmtId="0" fontId="0" fillId="5" borderId="15" xfId="0" applyFill="1" applyBorder="1" applyAlignment="1">
      <alignment horizontal="left" vertical="center"/>
    </xf>
    <xf numFmtId="0" fontId="19" fillId="2" borderId="0" xfId="0" applyFont="1" applyFill="1"/>
    <xf numFmtId="164" fontId="0" fillId="4" borderId="15" xfId="0" applyNumberFormat="1" applyFill="1" applyBorder="1" applyAlignment="1">
      <alignment horizontal="center"/>
    </xf>
    <xf numFmtId="0" fontId="0" fillId="4" borderId="15" xfId="0" applyFill="1" applyBorder="1" applyAlignment="1">
      <alignment horizontal="right"/>
    </xf>
    <xf numFmtId="49" fontId="0" fillId="4" borderId="15" xfId="0" applyNumberFormat="1" applyFill="1" applyBorder="1" applyAlignment="1">
      <alignment horizontal="center" vertical="center"/>
    </xf>
    <xf numFmtId="0" fontId="0" fillId="3" borderId="15" xfId="0" applyFill="1" applyBorder="1"/>
    <xf numFmtId="49" fontId="0" fillId="3" borderId="15" xfId="0" applyNumberFormat="1" applyFill="1" applyBorder="1" applyAlignment="1">
      <alignment horizontal="center" vertical="center"/>
    </xf>
    <xf numFmtId="49" fontId="0" fillId="3" borderId="15" xfId="0" applyNumberFormat="1" applyFill="1" applyBorder="1"/>
    <xf numFmtId="0" fontId="14" fillId="3" borderId="15" xfId="0" applyFont="1" applyFill="1" applyBorder="1" applyAlignment="1">
      <alignment horizontal="center" vertical="center"/>
    </xf>
    <xf numFmtId="0" fontId="0" fillId="0" borderId="0" xfId="0" applyAlignment="1">
      <alignment vertical="center"/>
    </xf>
    <xf numFmtId="0" fontId="0" fillId="36" borderId="15" xfId="0" applyFill="1" applyBorder="1" applyAlignment="1">
      <alignment horizontal="center" vertical="center"/>
    </xf>
    <xf numFmtId="0" fontId="28" fillId="30" borderId="15" xfId="0" applyFont="1" applyFill="1" applyBorder="1" applyAlignment="1">
      <alignment vertical="center"/>
    </xf>
    <xf numFmtId="2" fontId="0" fillId="4" borderId="15" xfId="0" applyNumberFormat="1" applyFill="1" applyBorder="1" applyAlignment="1">
      <alignment horizontal="center" vertical="center"/>
    </xf>
    <xf numFmtId="0" fontId="0" fillId="34" borderId="8" xfId="0" applyFill="1" applyBorder="1" applyAlignment="1">
      <alignment horizontal="center" vertical="center"/>
    </xf>
    <xf numFmtId="164" fontId="0" fillId="34" borderId="8" xfId="0" applyNumberFormat="1" applyFill="1" applyBorder="1" applyAlignment="1">
      <alignment horizontal="center" vertical="center"/>
    </xf>
    <xf numFmtId="0" fontId="0" fillId="34" borderId="0" xfId="0" applyFill="1" applyAlignment="1">
      <alignment horizontal="center" vertical="center"/>
    </xf>
    <xf numFmtId="164" fontId="0" fillId="34" borderId="0" xfId="0" applyNumberFormat="1" applyFill="1" applyAlignment="1">
      <alignment horizontal="center" vertical="center"/>
    </xf>
    <xf numFmtId="0" fontId="0" fillId="4" borderId="99" xfId="0" applyFill="1" applyBorder="1" applyAlignment="1">
      <alignment horizontal="center" vertical="center"/>
    </xf>
    <xf numFmtId="0" fontId="0" fillId="16" borderId="40" xfId="0" applyFill="1" applyBorder="1"/>
    <xf numFmtId="0" fontId="0" fillId="16" borderId="33" xfId="0" applyFill="1" applyBorder="1"/>
    <xf numFmtId="0" fontId="0" fillId="33" borderId="32" xfId="0" applyFill="1" applyBorder="1"/>
    <xf numFmtId="0" fontId="19" fillId="33" borderId="40" xfId="0" applyFont="1" applyFill="1" applyBorder="1" applyAlignment="1">
      <alignment horizontal="center" vertical="center"/>
    </xf>
    <xf numFmtId="0" fontId="19" fillId="22" borderId="92" xfId="0" applyFont="1" applyFill="1" applyBorder="1" applyAlignment="1">
      <alignment horizontal="center" vertical="center"/>
    </xf>
    <xf numFmtId="0" fontId="19" fillId="16" borderId="40" xfId="0" applyFont="1" applyFill="1" applyBorder="1" applyAlignment="1">
      <alignment horizontal="center" vertical="center"/>
    </xf>
    <xf numFmtId="0" fontId="19" fillId="21" borderId="16" xfId="0" applyFont="1" applyFill="1" applyBorder="1" applyAlignment="1">
      <alignment horizontal="center" vertical="center"/>
    </xf>
    <xf numFmtId="0" fontId="19" fillId="32" borderId="31" xfId="0" applyFont="1" applyFill="1" applyBorder="1" applyAlignment="1">
      <alignment horizontal="center" vertical="center"/>
    </xf>
    <xf numFmtId="0" fontId="0" fillId="32" borderId="31" xfId="0" applyFill="1" applyBorder="1" applyAlignment="1">
      <alignment vertical="center"/>
    </xf>
    <xf numFmtId="0" fontId="0" fillId="32" borderId="32" xfId="0" applyFill="1" applyBorder="1" applyAlignment="1">
      <alignment vertical="center"/>
    </xf>
    <xf numFmtId="0" fontId="0" fillId="16" borderId="31" xfId="0" applyFill="1" applyBorder="1" applyAlignment="1">
      <alignment vertical="center"/>
    </xf>
    <xf numFmtId="0" fontId="19" fillId="2" borderId="0" xfId="0" applyFont="1" applyFill="1" applyAlignment="1">
      <alignment horizontal="left"/>
    </xf>
    <xf numFmtId="0" fontId="10" fillId="4" borderId="72" xfId="0" applyFont="1" applyFill="1" applyBorder="1" applyAlignment="1">
      <alignment vertical="center"/>
    </xf>
    <xf numFmtId="0" fontId="0" fillId="4" borderId="38" xfId="0" applyFill="1" applyBorder="1" applyAlignment="1">
      <alignment horizontal="center" vertical="center"/>
    </xf>
    <xf numFmtId="0" fontId="0" fillId="32" borderId="38" xfId="0" applyFill="1" applyBorder="1" applyAlignment="1">
      <alignment horizontal="center" vertical="center"/>
    </xf>
    <xf numFmtId="0" fontId="0" fillId="33" borderId="39" xfId="0" applyFill="1" applyBorder="1" applyAlignment="1">
      <alignment horizontal="center" vertical="center"/>
    </xf>
    <xf numFmtId="0" fontId="0" fillId="32" borderId="39" xfId="0" applyFill="1" applyBorder="1" applyAlignment="1">
      <alignment horizontal="center" vertical="center"/>
    </xf>
    <xf numFmtId="0" fontId="0" fillId="3" borderId="7" xfId="0" applyFill="1" applyBorder="1"/>
    <xf numFmtId="0" fontId="0" fillId="3" borderId="8" xfId="0" applyFill="1" applyBorder="1"/>
    <xf numFmtId="0" fontId="0" fillId="3" borderId="9" xfId="0" applyFill="1" applyBorder="1"/>
    <xf numFmtId="0" fontId="0" fillId="3" borderId="10" xfId="0" applyFill="1" applyBorder="1"/>
    <xf numFmtId="0" fontId="0" fillId="3" borderId="11" xfId="0" applyFill="1" applyBorder="1"/>
    <xf numFmtId="0" fontId="0" fillId="3" borderId="12" xfId="0" applyFill="1" applyBorder="1"/>
    <xf numFmtId="0" fontId="0" fillId="3" borderId="13" xfId="0" applyFill="1" applyBorder="1"/>
    <xf numFmtId="0" fontId="0" fillId="3" borderId="14" xfId="0" applyFill="1" applyBorder="1"/>
    <xf numFmtId="0" fontId="0" fillId="15" borderId="19" xfId="0" applyFill="1" applyBorder="1" applyAlignment="1">
      <alignment horizontal="center"/>
    </xf>
    <xf numFmtId="0" fontId="0" fillId="4" borderId="93" xfId="0" applyFill="1" applyBorder="1" applyAlignment="1">
      <alignment horizontal="right" vertical="center"/>
    </xf>
    <xf numFmtId="0" fontId="0" fillId="4" borderId="68" xfId="0" applyFill="1" applyBorder="1" applyAlignment="1">
      <alignment horizontal="right" vertical="center"/>
    </xf>
    <xf numFmtId="0" fontId="0" fillId="4" borderId="69" xfId="0" applyFill="1" applyBorder="1" applyAlignment="1">
      <alignment horizontal="right" vertical="center"/>
    </xf>
    <xf numFmtId="0" fontId="0" fillId="34" borderId="17" xfId="0" applyFill="1" applyBorder="1"/>
    <xf numFmtId="0" fontId="0" fillId="34" borderId="0" xfId="0" applyFill="1"/>
    <xf numFmtId="0" fontId="42" fillId="13" borderId="0" xfId="0" applyFont="1" applyFill="1"/>
    <xf numFmtId="0" fontId="0" fillId="4" borderId="41" xfId="0" applyFill="1" applyBorder="1" applyAlignment="1">
      <alignment vertical="center"/>
    </xf>
    <xf numFmtId="0" fontId="0" fillId="4" borderId="43" xfId="0" applyFill="1" applyBorder="1" applyAlignment="1">
      <alignment horizontal="center" vertical="center"/>
    </xf>
    <xf numFmtId="0" fontId="0" fillId="4" borderId="5" xfId="0" applyFill="1" applyBorder="1" applyAlignment="1">
      <alignment horizontal="center" vertical="center"/>
    </xf>
    <xf numFmtId="0" fontId="0" fillId="4" borderId="44" xfId="0" applyFill="1" applyBorder="1" applyAlignment="1">
      <alignment horizontal="center" vertical="center"/>
    </xf>
    <xf numFmtId="0" fontId="0" fillId="4" borderId="47" xfId="0" applyFill="1" applyBorder="1" applyAlignment="1">
      <alignment horizontal="right" vertical="center"/>
    </xf>
    <xf numFmtId="0" fontId="0" fillId="4" borderId="48" xfId="0" applyFill="1" applyBorder="1" applyAlignment="1">
      <alignment horizontal="left" vertical="center"/>
    </xf>
    <xf numFmtId="0" fontId="0" fillId="4" borderId="6" xfId="0" applyFill="1" applyBorder="1" applyAlignment="1">
      <alignment vertical="center"/>
    </xf>
    <xf numFmtId="0" fontId="0" fillId="4" borderId="6" xfId="0" applyFill="1" applyBorder="1" applyAlignment="1">
      <alignment horizontal="left" vertical="center"/>
    </xf>
    <xf numFmtId="0" fontId="0" fillId="4" borderId="48" xfId="0" applyFill="1" applyBorder="1" applyAlignment="1">
      <alignment vertical="center"/>
    </xf>
    <xf numFmtId="0" fontId="0" fillId="4" borderId="5" xfId="0" applyFill="1" applyBorder="1" applyAlignment="1">
      <alignment vertical="center"/>
    </xf>
    <xf numFmtId="0" fontId="0" fillId="4" borderId="48" xfId="0" applyFill="1" applyBorder="1" applyAlignment="1">
      <alignment horizontal="center" vertical="center"/>
    </xf>
    <xf numFmtId="0" fontId="0" fillId="4" borderId="0" xfId="0" applyFill="1" applyAlignment="1">
      <alignment horizontal="left" vertical="center"/>
    </xf>
    <xf numFmtId="0" fontId="0" fillId="4" borderId="49" xfId="0" applyFill="1" applyBorder="1" applyAlignment="1">
      <alignment horizontal="center" vertical="center"/>
    </xf>
    <xf numFmtId="0" fontId="0" fillId="4" borderId="45" xfId="0" applyFill="1" applyBorder="1" applyAlignment="1">
      <alignment horizontal="center" vertical="center"/>
    </xf>
    <xf numFmtId="0" fontId="0" fillId="4" borderId="46" xfId="0" applyFill="1" applyBorder="1" applyAlignment="1">
      <alignment horizontal="center" vertical="center"/>
    </xf>
    <xf numFmtId="0" fontId="0" fillId="4" borderId="3" xfId="0" applyFill="1" applyBorder="1" applyAlignment="1">
      <alignment vertical="center"/>
    </xf>
    <xf numFmtId="0" fontId="0" fillId="4" borderId="3" xfId="0" applyFill="1" applyBorder="1" applyAlignment="1">
      <alignment horizontal="left" vertical="center"/>
    </xf>
    <xf numFmtId="0" fontId="0" fillId="4" borderId="40" xfId="0" applyFill="1" applyBorder="1" applyAlignment="1">
      <alignment horizontal="left" vertical="center"/>
    </xf>
    <xf numFmtId="0" fontId="0" fillId="0" borderId="4" xfId="0" applyBorder="1" applyAlignment="1">
      <alignment horizontal="center" vertical="center"/>
    </xf>
    <xf numFmtId="0" fontId="0" fillId="33" borderId="45" xfId="0" applyFill="1" applyBorder="1" applyAlignment="1">
      <alignment horizontal="center" vertical="center"/>
    </xf>
    <xf numFmtId="0" fontId="0" fillId="33" borderId="49" xfId="0" applyFill="1" applyBorder="1" applyAlignment="1">
      <alignment horizontal="center" vertical="center"/>
    </xf>
    <xf numFmtId="0" fontId="0" fillId="33" borderId="4" xfId="0" applyFill="1" applyBorder="1" applyAlignment="1">
      <alignment horizontal="center" vertical="center"/>
    </xf>
    <xf numFmtId="0" fontId="0" fillId="2" borderId="22" xfId="0" applyFill="1" applyBorder="1" applyAlignment="1">
      <alignment vertical="center"/>
    </xf>
    <xf numFmtId="0" fontId="0" fillId="4" borderId="71" xfId="0" applyFill="1" applyBorder="1" applyAlignment="1">
      <alignment vertical="center"/>
    </xf>
    <xf numFmtId="0" fontId="0" fillId="4" borderId="98" xfId="0" applyFill="1" applyBorder="1" applyAlignment="1">
      <alignment horizontal="center" vertical="center"/>
    </xf>
    <xf numFmtId="0" fontId="0" fillId="4" borderId="96" xfId="0" applyFill="1" applyBorder="1" applyAlignment="1">
      <alignment horizontal="center" vertical="center"/>
    </xf>
    <xf numFmtId="0" fontId="0" fillId="4" borderId="71" xfId="0" applyFill="1" applyBorder="1" applyAlignment="1">
      <alignment horizontal="center" vertical="center"/>
    </xf>
    <xf numFmtId="0" fontId="0" fillId="4" borderId="67" xfId="0" applyFill="1" applyBorder="1" applyAlignment="1">
      <alignment vertical="center"/>
    </xf>
    <xf numFmtId="0" fontId="0" fillId="4" borderId="25" xfId="0" applyFill="1" applyBorder="1" applyAlignment="1">
      <alignment horizontal="center" vertical="center"/>
    </xf>
    <xf numFmtId="0" fontId="0" fillId="4" borderId="76" xfId="0" applyFill="1" applyBorder="1" applyAlignment="1">
      <alignment horizontal="center" vertical="center"/>
    </xf>
    <xf numFmtId="0" fontId="0" fillId="4" borderId="80" xfId="0" applyFill="1" applyBorder="1" applyAlignment="1">
      <alignment vertical="center"/>
    </xf>
    <xf numFmtId="0" fontId="0" fillId="4" borderId="25" xfId="0" applyFill="1" applyBorder="1" applyAlignment="1">
      <alignment vertical="center"/>
    </xf>
    <xf numFmtId="0" fontId="0" fillId="4" borderId="76" xfId="0" applyFill="1" applyBorder="1" applyAlignment="1">
      <alignment vertical="center"/>
    </xf>
    <xf numFmtId="0" fontId="0" fillId="4" borderId="13" xfId="0" applyFill="1" applyBorder="1" applyAlignment="1">
      <alignment vertical="center"/>
    </xf>
    <xf numFmtId="0" fontId="0" fillId="4" borderId="72" xfId="0" applyFill="1" applyBorder="1" applyAlignment="1">
      <alignment vertical="center"/>
    </xf>
    <xf numFmtId="0" fontId="0" fillId="4" borderId="72" xfId="0" applyFill="1" applyBorder="1" applyAlignment="1">
      <alignment horizontal="center" vertical="center"/>
    </xf>
    <xf numFmtId="0" fontId="0" fillId="4" borderId="81" xfId="0" applyFill="1" applyBorder="1" applyAlignment="1">
      <alignment vertical="center"/>
    </xf>
    <xf numFmtId="0" fontId="0" fillId="4" borderId="77" xfId="0" applyFill="1" applyBorder="1" applyAlignment="1">
      <alignment vertical="center"/>
    </xf>
    <xf numFmtId="0" fontId="0" fillId="4" borderId="27" xfId="0" applyFill="1" applyBorder="1" applyAlignment="1">
      <alignment vertical="center"/>
    </xf>
    <xf numFmtId="0" fontId="0" fillId="4" borderId="82" xfId="0" applyFill="1" applyBorder="1" applyAlignment="1">
      <alignment vertical="center"/>
    </xf>
    <xf numFmtId="0" fontId="0" fillId="4" borderId="37" xfId="0" applyFill="1" applyBorder="1" applyAlignment="1">
      <alignment vertical="center"/>
    </xf>
    <xf numFmtId="0" fontId="0" fillId="4" borderId="78" xfId="0" applyFill="1" applyBorder="1" applyAlignment="1">
      <alignment vertical="center"/>
    </xf>
    <xf numFmtId="0" fontId="0" fillId="4" borderId="8" xfId="0" applyFill="1" applyBorder="1" applyAlignment="1">
      <alignment vertical="center"/>
    </xf>
    <xf numFmtId="0" fontId="0" fillId="4" borderId="69" xfId="0" applyFill="1" applyBorder="1" applyAlignment="1">
      <alignment vertical="center"/>
    </xf>
    <xf numFmtId="0" fontId="0" fillId="33" borderId="27" xfId="0" applyFill="1" applyBorder="1" applyAlignment="1">
      <alignment horizontal="center" vertical="center"/>
    </xf>
    <xf numFmtId="0" fontId="0" fillId="4" borderId="73" xfId="0" applyFill="1" applyBorder="1" applyAlignment="1">
      <alignment vertical="center"/>
    </xf>
    <xf numFmtId="0" fontId="0" fillId="4" borderId="73" xfId="0" applyFill="1" applyBorder="1" applyAlignment="1">
      <alignment horizontal="center" vertical="center"/>
    </xf>
    <xf numFmtId="0" fontId="0" fillId="4" borderId="83" xfId="0" applyFill="1" applyBorder="1" applyAlignment="1">
      <alignment vertical="center"/>
    </xf>
    <xf numFmtId="0" fontId="0" fillId="4" borderId="64" xfId="0" applyFill="1" applyBorder="1" applyAlignment="1">
      <alignment vertical="center"/>
    </xf>
    <xf numFmtId="0" fontId="0" fillId="4" borderId="79" xfId="0" applyFill="1" applyBorder="1" applyAlignment="1">
      <alignment vertical="center"/>
    </xf>
    <xf numFmtId="0" fontId="0" fillId="4" borderId="98" xfId="0" applyFill="1" applyBorder="1" applyAlignment="1">
      <alignment vertical="center"/>
    </xf>
    <xf numFmtId="0" fontId="0" fillId="4" borderId="99" xfId="0" applyFill="1" applyBorder="1" applyAlignment="1">
      <alignment vertical="center"/>
    </xf>
    <xf numFmtId="0" fontId="0" fillId="4" borderId="96" xfId="0" applyFill="1" applyBorder="1" applyAlignment="1">
      <alignment vertical="center"/>
    </xf>
    <xf numFmtId="0" fontId="0" fillId="4" borderId="100" xfId="0" applyFill="1" applyBorder="1" applyAlignment="1">
      <alignment vertical="center"/>
    </xf>
    <xf numFmtId="0" fontId="0" fillId="4" borderId="101" xfId="0" applyFill="1" applyBorder="1" applyAlignment="1">
      <alignment vertical="center"/>
    </xf>
    <xf numFmtId="0" fontId="0" fillId="4" borderId="102" xfId="0" applyFill="1" applyBorder="1" applyAlignment="1">
      <alignment vertical="center"/>
    </xf>
    <xf numFmtId="0" fontId="0" fillId="4" borderId="103" xfId="0" applyFill="1" applyBorder="1" applyAlignment="1">
      <alignment vertical="center"/>
    </xf>
    <xf numFmtId="0" fontId="0" fillId="4" borderId="104" xfId="0" applyFill="1" applyBorder="1" applyAlignment="1">
      <alignment vertical="center"/>
    </xf>
    <xf numFmtId="0" fontId="0" fillId="4" borderId="93" xfId="0" applyFill="1" applyBorder="1" applyAlignment="1">
      <alignment vertical="center"/>
    </xf>
    <xf numFmtId="0" fontId="0" fillId="4" borderId="62" xfId="0" applyFill="1" applyBorder="1" applyAlignment="1">
      <alignment vertical="center"/>
    </xf>
    <xf numFmtId="0" fontId="0" fillId="4" borderId="30" xfId="0" applyFill="1" applyBorder="1" applyAlignment="1">
      <alignment vertical="center"/>
    </xf>
    <xf numFmtId="0" fontId="0" fillId="4" borderId="64" xfId="0" applyFill="1" applyBorder="1" applyAlignment="1">
      <alignment horizontal="right" vertical="center"/>
    </xf>
    <xf numFmtId="0" fontId="0" fillId="4" borderId="66" xfId="0" applyFill="1" applyBorder="1" applyAlignment="1">
      <alignment vertical="center"/>
    </xf>
    <xf numFmtId="0" fontId="0" fillId="4" borderId="75" xfId="0" applyFill="1" applyBorder="1" applyAlignment="1">
      <alignment vertical="center"/>
    </xf>
    <xf numFmtId="0" fontId="0" fillId="4" borderId="74" xfId="0" applyFill="1" applyBorder="1" applyAlignment="1">
      <alignment vertical="center"/>
    </xf>
    <xf numFmtId="0" fontId="0" fillId="4" borderId="71" xfId="0" applyFill="1" applyBorder="1" applyAlignment="1">
      <alignment horizontal="right" vertical="center"/>
    </xf>
    <xf numFmtId="0" fontId="0" fillId="4" borderId="61" xfId="0" applyFill="1" applyBorder="1" applyAlignment="1">
      <alignment vertical="center"/>
    </xf>
    <xf numFmtId="0" fontId="0" fillId="32" borderId="68" xfId="0" applyFill="1" applyBorder="1" applyAlignment="1">
      <alignment horizontal="center" vertical="center"/>
    </xf>
    <xf numFmtId="0" fontId="7" fillId="3" borderId="72" xfId="0" applyFont="1" applyFill="1" applyBorder="1" applyAlignment="1">
      <alignment vertical="center"/>
    </xf>
    <xf numFmtId="0" fontId="6" fillId="3" borderId="72" xfId="0" applyFont="1" applyFill="1" applyBorder="1" applyAlignment="1">
      <alignment vertical="center"/>
    </xf>
    <xf numFmtId="0" fontId="0" fillId="4" borderId="37" xfId="0" applyFill="1" applyBorder="1"/>
    <xf numFmtId="0" fontId="0" fillId="4" borderId="24" xfId="0" applyFill="1" applyBorder="1"/>
    <xf numFmtId="0" fontId="0" fillId="34" borderId="8" xfId="0" applyFill="1" applyBorder="1"/>
    <xf numFmtId="0" fontId="0" fillId="32" borderId="37" xfId="0" applyFill="1" applyBorder="1"/>
    <xf numFmtId="0" fontId="0" fillId="32" borderId="24" xfId="0" applyFill="1" applyBorder="1"/>
    <xf numFmtId="0" fontId="0" fillId="33" borderId="37" xfId="0" applyFill="1" applyBorder="1"/>
    <xf numFmtId="0" fontId="0" fillId="33" borderId="24" xfId="0" applyFill="1" applyBorder="1"/>
    <xf numFmtId="0" fontId="0" fillId="16" borderId="40" xfId="0" applyFill="1" applyBorder="1" applyAlignment="1">
      <alignment horizontal="center" vertical="center"/>
    </xf>
    <xf numFmtId="0" fontId="0" fillId="16" borderId="40" xfId="0" applyFill="1" applyBorder="1" applyAlignment="1">
      <alignment horizontal="center" vertical="center" wrapText="1"/>
    </xf>
    <xf numFmtId="0" fontId="0" fillId="32" borderId="72" xfId="0" applyFill="1" applyBorder="1" applyAlignment="1">
      <alignment horizontal="right" vertical="center"/>
    </xf>
    <xf numFmtId="2" fontId="0" fillId="4" borderId="38" xfId="0" applyNumberFormat="1" applyFill="1" applyBorder="1" applyAlignment="1">
      <alignment horizontal="left" vertical="center"/>
    </xf>
    <xf numFmtId="0" fontId="49" fillId="4" borderId="39" xfId="1" applyFont="1" applyFill="1" applyBorder="1" applyAlignment="1" applyProtection="1">
      <alignment horizontal="left" vertical="center"/>
    </xf>
    <xf numFmtId="0" fontId="0" fillId="35" borderId="15" xfId="0" applyFill="1" applyBorder="1" applyAlignment="1">
      <alignment horizontal="center" vertical="center"/>
    </xf>
    <xf numFmtId="0" fontId="28" fillId="30" borderId="15" xfId="0" applyFont="1" applyFill="1" applyBorder="1" applyAlignment="1">
      <alignment horizontal="center" vertical="center"/>
    </xf>
    <xf numFmtId="0" fontId="0" fillId="33" borderId="29" xfId="0" applyFill="1" applyBorder="1" applyAlignment="1">
      <alignment horizontal="center" vertical="center"/>
    </xf>
    <xf numFmtId="0" fontId="0" fillId="33" borderId="30" xfId="0" applyFill="1" applyBorder="1" applyAlignment="1">
      <alignment horizontal="center" vertical="center"/>
    </xf>
    <xf numFmtId="0" fontId="19" fillId="2" borderId="0" xfId="0" applyFont="1" applyFill="1" applyAlignment="1">
      <alignment vertical="center"/>
    </xf>
    <xf numFmtId="164" fontId="0" fillId="4" borderId="40" xfId="0" applyNumberFormat="1" applyFill="1" applyBorder="1" applyAlignment="1">
      <alignment horizontal="center" vertical="center"/>
    </xf>
    <xf numFmtId="0" fontId="0" fillId="34" borderId="8" xfId="0" applyFill="1" applyBorder="1" applyAlignment="1">
      <alignment vertical="center"/>
    </xf>
    <xf numFmtId="0" fontId="37" fillId="2" borderId="0" xfId="0" applyFont="1" applyFill="1"/>
    <xf numFmtId="0" fontId="0" fillId="8" borderId="10" xfId="0" applyFill="1" applyBorder="1" applyAlignment="1">
      <alignment vertical="center"/>
    </xf>
    <xf numFmtId="0" fontId="0" fillId="25" borderId="15" xfId="0" applyFill="1" applyBorder="1" applyAlignment="1">
      <alignment vertical="center"/>
    </xf>
    <xf numFmtId="0" fontId="28" fillId="30" borderId="15" xfId="0" applyFont="1" applyFill="1" applyBorder="1" applyAlignment="1">
      <alignment vertical="center" wrapText="1"/>
    </xf>
    <xf numFmtId="0" fontId="28" fillId="30" borderId="26" xfId="0" applyFont="1"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0" fontId="0" fillId="34" borderId="0" xfId="0" applyFill="1" applyAlignment="1">
      <alignment vertical="center"/>
    </xf>
    <xf numFmtId="0" fontId="0" fillId="2" borderId="13" xfId="0" applyFill="1" applyBorder="1"/>
    <xf numFmtId="0" fontId="0" fillId="22" borderId="15" xfId="0" applyFill="1" applyBorder="1" applyAlignment="1">
      <alignment horizontal="center" vertical="center" wrapText="1"/>
    </xf>
    <xf numFmtId="0" fontId="0" fillId="33" borderId="47" xfId="0" applyFill="1" applyBorder="1" applyAlignment="1">
      <alignment horizontal="right" vertical="center"/>
    </xf>
    <xf numFmtId="0" fontId="0" fillId="33" borderId="6" xfId="0" applyFill="1" applyBorder="1" applyAlignment="1">
      <alignment horizontal="left" vertical="center"/>
    </xf>
    <xf numFmtId="0" fontId="19" fillId="4" borderId="15" xfId="0" applyFont="1" applyFill="1" applyBorder="1"/>
    <xf numFmtId="0" fontId="5" fillId="3" borderId="72" xfId="0" applyFont="1" applyFill="1" applyBorder="1" applyAlignment="1">
      <alignment vertical="center"/>
    </xf>
    <xf numFmtId="0" fontId="0" fillId="0" borderId="81" xfId="0" applyBorder="1" applyAlignment="1">
      <alignment horizontal="center" vertical="center"/>
    </xf>
    <xf numFmtId="0" fontId="4" fillId="3" borderId="72" xfId="0" applyFont="1" applyFill="1" applyBorder="1" applyAlignment="1">
      <alignment vertical="center"/>
    </xf>
    <xf numFmtId="0" fontId="0" fillId="4" borderId="9" xfId="0" applyFill="1" applyBorder="1" applyAlignment="1">
      <alignment horizontal="center" vertical="center"/>
    </xf>
    <xf numFmtId="0" fontId="0" fillId="21" borderId="15" xfId="0" applyFill="1" applyBorder="1" applyAlignment="1">
      <alignment horizontal="center" vertical="center"/>
    </xf>
    <xf numFmtId="0" fontId="0" fillId="4" borderId="27" xfId="0" applyFill="1" applyBorder="1" applyAlignment="1">
      <alignment horizontal="right" vertical="center"/>
    </xf>
    <xf numFmtId="0" fontId="0" fillId="4" borderId="122" xfId="0" applyFill="1" applyBorder="1" applyAlignment="1">
      <alignment vertical="center"/>
    </xf>
    <xf numFmtId="0" fontId="0" fillId="4" borderId="28" xfId="0" applyFill="1" applyBorder="1" applyAlignment="1">
      <alignment vertical="center"/>
    </xf>
    <xf numFmtId="0" fontId="0" fillId="4" borderId="9" xfId="0" applyFill="1" applyBorder="1" applyAlignment="1">
      <alignment vertical="center"/>
    </xf>
    <xf numFmtId="0" fontId="0" fillId="4" borderId="7" xfId="0" applyFill="1" applyBorder="1" applyAlignment="1">
      <alignment vertical="center"/>
    </xf>
    <xf numFmtId="0" fontId="32" fillId="34" borderId="0" xfId="0" applyFont="1" applyFill="1" applyAlignment="1">
      <alignment vertical="center"/>
    </xf>
    <xf numFmtId="0" fontId="0" fillId="32" borderId="3" xfId="0" applyFill="1" applyBorder="1" applyAlignment="1">
      <alignment vertical="center"/>
    </xf>
    <xf numFmtId="0" fontId="0" fillId="2" borderId="15" xfId="0" applyFill="1" applyBorder="1" applyAlignment="1">
      <alignment horizontal="center" vertical="center"/>
    </xf>
    <xf numFmtId="0" fontId="0" fillId="2" borderId="37" xfId="0" applyFill="1" applyBorder="1"/>
    <xf numFmtId="0" fontId="0" fillId="2" borderId="24" xfId="0" applyFill="1" applyBorder="1"/>
    <xf numFmtId="0" fontId="0" fillId="39" borderId="24" xfId="0" applyFill="1" applyBorder="1"/>
    <xf numFmtId="0" fontId="0" fillId="40" borderId="24" xfId="0" applyFill="1" applyBorder="1"/>
    <xf numFmtId="0" fontId="0" fillId="41" borderId="24" xfId="0" applyFill="1" applyBorder="1"/>
    <xf numFmtId="0" fontId="0" fillId="42" borderId="24" xfId="0" applyFill="1" applyBorder="1"/>
    <xf numFmtId="0" fontId="0" fillId="43" borderId="24" xfId="0" applyFill="1" applyBorder="1"/>
    <xf numFmtId="0" fontId="0" fillId="44" borderId="24" xfId="0" applyFill="1" applyBorder="1"/>
    <xf numFmtId="0" fontId="0" fillId="45" borderId="24" xfId="0" applyFill="1" applyBorder="1"/>
    <xf numFmtId="0" fontId="0" fillId="46" borderId="24" xfId="0" applyFill="1" applyBorder="1"/>
    <xf numFmtId="0" fontId="0" fillId="47" borderId="24" xfId="0" applyFill="1" applyBorder="1"/>
    <xf numFmtId="0" fontId="0" fillId="48" borderId="24" xfId="0" applyFill="1" applyBorder="1"/>
    <xf numFmtId="0" fontId="0" fillId="49" borderId="24" xfId="0" applyFill="1" applyBorder="1"/>
    <xf numFmtId="0" fontId="0" fillId="50" borderId="24" xfId="0" applyFill="1" applyBorder="1"/>
    <xf numFmtId="0" fontId="0" fillId="51" borderId="24" xfId="0" applyFill="1" applyBorder="1"/>
    <xf numFmtId="0" fontId="0" fillId="52" borderId="24" xfId="0" applyFill="1" applyBorder="1"/>
    <xf numFmtId="0" fontId="0" fillId="53" borderId="24" xfId="0" applyFill="1" applyBorder="1"/>
    <xf numFmtId="0" fontId="0" fillId="54" borderId="24" xfId="0" applyFill="1" applyBorder="1"/>
    <xf numFmtId="0" fontId="0" fillId="55" borderId="24" xfId="0" applyFill="1" applyBorder="1"/>
    <xf numFmtId="0" fontId="0" fillId="56" borderId="24" xfId="0" applyFill="1" applyBorder="1"/>
    <xf numFmtId="0" fontId="0" fillId="57" borderId="24" xfId="0" applyFill="1" applyBorder="1"/>
    <xf numFmtId="0" fontId="0" fillId="58" borderId="24" xfId="0" applyFill="1" applyBorder="1"/>
    <xf numFmtId="0" fontId="0" fillId="59" borderId="24" xfId="0" applyFill="1" applyBorder="1"/>
    <xf numFmtId="0" fontId="0" fillId="60" borderId="15" xfId="0" applyFill="1" applyBorder="1" applyAlignment="1">
      <alignment horizontal="center" vertical="center"/>
    </xf>
    <xf numFmtId="0" fontId="0" fillId="61" borderId="25" xfId="0" applyFill="1" applyBorder="1"/>
    <xf numFmtId="0" fontId="0" fillId="62" borderId="24" xfId="0" applyFill="1" applyBorder="1"/>
    <xf numFmtId="0" fontId="0" fillId="4" borderId="16" xfId="0" applyFill="1" applyBorder="1" applyProtection="1">
      <protection hidden="1"/>
    </xf>
    <xf numFmtId="0" fontId="0" fillId="4" borderId="17" xfId="0" applyFill="1" applyBorder="1" applyProtection="1">
      <protection hidden="1"/>
    </xf>
    <xf numFmtId="0" fontId="0" fillId="4" borderId="18" xfId="0" applyFill="1" applyBorder="1" applyProtection="1">
      <protection hidden="1"/>
    </xf>
    <xf numFmtId="0" fontId="0" fillId="4" borderId="19" xfId="0" applyFill="1" applyBorder="1" applyProtection="1">
      <protection hidden="1"/>
    </xf>
    <xf numFmtId="0" fontId="17" fillId="0" borderId="0" xfId="0" applyFont="1" applyProtection="1">
      <protection hidden="1"/>
    </xf>
    <xf numFmtId="0" fontId="0" fillId="4" borderId="20" xfId="0" applyFill="1" applyBorder="1" applyProtection="1">
      <protection hidden="1"/>
    </xf>
    <xf numFmtId="0" fontId="17" fillId="4" borderId="0" xfId="0" applyFont="1" applyFill="1" applyProtection="1">
      <protection hidden="1"/>
    </xf>
    <xf numFmtId="0" fontId="17" fillId="4" borderId="0" xfId="0" applyFont="1" applyFill="1" applyAlignment="1" applyProtection="1">
      <alignment vertical="center"/>
      <protection hidden="1"/>
    </xf>
    <xf numFmtId="0" fontId="15" fillId="4" borderId="20" xfId="0" applyFont="1" applyFill="1" applyBorder="1" applyAlignment="1" applyProtection="1">
      <alignment horizontal="center"/>
      <protection hidden="1"/>
    </xf>
    <xf numFmtId="0" fontId="18" fillId="4" borderId="0" xfId="0" applyFont="1" applyFill="1" applyAlignment="1" applyProtection="1">
      <alignment vertical="center"/>
      <protection hidden="1"/>
    </xf>
    <xf numFmtId="0" fontId="18" fillId="4" borderId="0" xfId="0" applyFont="1" applyFill="1" applyAlignment="1" applyProtection="1">
      <alignment horizontal="center" vertical="center"/>
      <protection hidden="1"/>
    </xf>
    <xf numFmtId="0" fontId="18" fillId="4" borderId="20" xfId="0" applyFont="1" applyFill="1" applyBorder="1" applyAlignment="1" applyProtection="1">
      <alignment horizontal="center" vertical="center"/>
      <protection hidden="1"/>
    </xf>
    <xf numFmtId="0" fontId="22" fillId="4" borderId="0" xfId="0" applyFont="1" applyFill="1" applyAlignment="1" applyProtection="1">
      <alignment vertical="center"/>
      <protection hidden="1"/>
    </xf>
    <xf numFmtId="0" fontId="17" fillId="4" borderId="20" xfId="0" applyFont="1" applyFill="1" applyBorder="1" applyProtection="1">
      <protection hidden="1"/>
    </xf>
    <xf numFmtId="0" fontId="17" fillId="4" borderId="120" xfId="0" applyFont="1" applyFill="1" applyBorder="1" applyAlignment="1" applyProtection="1">
      <alignment vertical="center"/>
      <protection hidden="1"/>
    </xf>
    <xf numFmtId="0" fontId="24" fillId="4" borderId="0" xfId="0" applyFont="1" applyFill="1" applyAlignment="1" applyProtection="1">
      <alignment vertical="center" wrapText="1"/>
      <protection hidden="1"/>
    </xf>
    <xf numFmtId="0" fontId="0" fillId="4" borderId="21" xfId="0" applyFill="1" applyBorder="1" applyProtection="1">
      <protection hidden="1"/>
    </xf>
    <xf numFmtId="0" fontId="17" fillId="4" borderId="22" xfId="0" applyFont="1" applyFill="1" applyBorder="1" applyProtection="1">
      <protection hidden="1"/>
    </xf>
    <xf numFmtId="0" fontId="0" fillId="4" borderId="22" xfId="0" applyFill="1" applyBorder="1" applyProtection="1">
      <protection hidden="1"/>
    </xf>
    <xf numFmtId="0" fontId="0" fillId="4" borderId="23" xfId="0" applyFill="1" applyBorder="1" applyProtection="1">
      <protection hidden="1"/>
    </xf>
    <xf numFmtId="0" fontId="0" fillId="4" borderId="0" xfId="0" applyFill="1" applyProtection="1">
      <protection hidden="1"/>
    </xf>
    <xf numFmtId="0" fontId="0" fillId="4" borderId="7" xfId="0" applyFill="1" applyBorder="1" applyProtection="1">
      <protection hidden="1"/>
    </xf>
    <xf numFmtId="0" fontId="0" fillId="4" borderId="8" xfId="0" applyFill="1" applyBorder="1" applyProtection="1">
      <protection hidden="1"/>
    </xf>
    <xf numFmtId="0" fontId="0" fillId="4" borderId="9" xfId="0" applyFill="1" applyBorder="1" applyProtection="1">
      <protection hidden="1"/>
    </xf>
    <xf numFmtId="0" fontId="0" fillId="4" borderId="10" xfId="0" applyFill="1" applyBorder="1" applyProtection="1">
      <protection hidden="1"/>
    </xf>
    <xf numFmtId="0" fontId="0" fillId="4" borderId="11" xfId="0" applyFill="1" applyBorder="1" applyProtection="1">
      <protection hidden="1"/>
    </xf>
    <xf numFmtId="0" fontId="0" fillId="4" borderId="12" xfId="0" applyFill="1" applyBorder="1" applyProtection="1">
      <protection hidden="1"/>
    </xf>
    <xf numFmtId="0" fontId="0" fillId="4" borderId="13" xfId="0" applyFill="1" applyBorder="1" applyProtection="1">
      <protection hidden="1"/>
    </xf>
    <xf numFmtId="0" fontId="0" fillId="4" borderId="14" xfId="0" applyFill="1" applyBorder="1" applyProtection="1">
      <protection hidden="1"/>
    </xf>
    <xf numFmtId="0" fontId="17" fillId="4" borderId="10" xfId="0" applyFont="1" applyFill="1" applyBorder="1" applyProtection="1">
      <protection hidden="1"/>
    </xf>
    <xf numFmtId="0" fontId="17" fillId="4" borderId="11" xfId="0" applyFont="1" applyFill="1" applyBorder="1" applyProtection="1">
      <protection hidden="1"/>
    </xf>
    <xf numFmtId="164" fontId="56" fillId="7" borderId="15" xfId="0" applyNumberFormat="1" applyFont="1" applyFill="1" applyBorder="1" applyAlignment="1" applyProtection="1">
      <alignment horizontal="center" vertical="center"/>
      <protection locked="0" hidden="1"/>
    </xf>
    <xf numFmtId="0" fontId="0" fillId="4" borderId="10" xfId="0" applyFill="1" applyBorder="1" applyAlignment="1" applyProtection="1">
      <alignment vertical="center"/>
      <protection hidden="1"/>
    </xf>
    <xf numFmtId="0" fontId="0" fillId="4" borderId="0" xfId="0" applyFill="1" applyAlignment="1" applyProtection="1">
      <alignment vertical="center" wrapText="1"/>
      <protection hidden="1"/>
    </xf>
    <xf numFmtId="0" fontId="0" fillId="4" borderId="11" xfId="0" applyFill="1" applyBorder="1" applyAlignment="1" applyProtection="1">
      <alignment vertical="center" wrapText="1"/>
      <protection hidden="1"/>
    </xf>
    <xf numFmtId="1" fontId="56" fillId="6" borderId="15" xfId="0" applyNumberFormat="1" applyFont="1" applyFill="1" applyBorder="1" applyAlignment="1" applyProtection="1">
      <alignment horizontal="center" vertical="center"/>
      <protection locked="0" hidden="1"/>
    </xf>
    <xf numFmtId="0" fontId="57" fillId="3" borderId="15" xfId="0" applyFont="1" applyFill="1" applyBorder="1" applyProtection="1">
      <protection locked="0" hidden="1"/>
    </xf>
    <xf numFmtId="0" fontId="57" fillId="3" borderId="15" xfId="0" applyFont="1" applyFill="1" applyBorder="1" applyAlignment="1" applyProtection="1">
      <alignment horizontal="left"/>
      <protection locked="0" hidden="1"/>
    </xf>
    <xf numFmtId="0" fontId="17" fillId="4" borderId="0" xfId="0" applyFont="1" applyFill="1" applyAlignment="1" applyProtection="1">
      <alignment horizontal="center"/>
      <protection hidden="1"/>
    </xf>
    <xf numFmtId="0" fontId="25" fillId="4" borderId="0" xfId="1" applyFont="1" applyFill="1" applyBorder="1" applyAlignment="1" applyProtection="1">
      <alignment vertical="center"/>
      <protection hidden="1"/>
    </xf>
    <xf numFmtId="0" fontId="41" fillId="4" borderId="7" xfId="0" applyFont="1" applyFill="1" applyBorder="1" applyProtection="1">
      <protection hidden="1"/>
    </xf>
    <xf numFmtId="0" fontId="41" fillId="4" borderId="8" xfId="0" applyFont="1" applyFill="1" applyBorder="1" applyProtection="1">
      <protection hidden="1"/>
    </xf>
    <xf numFmtId="0" fontId="41" fillId="4" borderId="9" xfId="0" applyFont="1" applyFill="1" applyBorder="1" applyProtection="1">
      <protection hidden="1"/>
    </xf>
    <xf numFmtId="0" fontId="41" fillId="4" borderId="10" xfId="0" applyFont="1" applyFill="1" applyBorder="1" applyProtection="1">
      <protection hidden="1"/>
    </xf>
    <xf numFmtId="0" fontId="41" fillId="4" borderId="0" xfId="0" applyFont="1" applyFill="1" applyProtection="1">
      <protection hidden="1"/>
    </xf>
    <xf numFmtId="0" fontId="41" fillId="4" borderId="11" xfId="0" applyFont="1" applyFill="1" applyBorder="1" applyProtection="1">
      <protection hidden="1"/>
    </xf>
    <xf numFmtId="0" fontId="43" fillId="4" borderId="0" xfId="0" applyFont="1" applyFill="1" applyAlignment="1" applyProtection="1">
      <alignment vertical="center"/>
      <protection hidden="1"/>
    </xf>
    <xf numFmtId="0" fontId="16" fillId="4" borderId="0" xfId="0" applyFont="1" applyFill="1" applyAlignment="1" applyProtection="1">
      <alignment vertical="top" wrapText="1"/>
      <protection hidden="1"/>
    </xf>
    <xf numFmtId="0" fontId="16" fillId="4" borderId="0" xfId="0" applyFont="1" applyFill="1" applyAlignment="1" applyProtection="1">
      <alignment vertical="top"/>
      <protection hidden="1"/>
    </xf>
    <xf numFmtId="0" fontId="41" fillId="4" borderId="13" xfId="0" applyFont="1" applyFill="1" applyBorder="1" applyProtection="1">
      <protection hidden="1"/>
    </xf>
    <xf numFmtId="0" fontId="41" fillId="4" borderId="12" xfId="0" applyFont="1" applyFill="1" applyBorder="1" applyProtection="1">
      <protection hidden="1"/>
    </xf>
    <xf numFmtId="0" fontId="41" fillId="4" borderId="14" xfId="0" applyFont="1" applyFill="1" applyBorder="1" applyProtection="1">
      <protection hidden="1"/>
    </xf>
    <xf numFmtId="0" fontId="0" fillId="23" borderId="25" xfId="0" applyFill="1" applyBorder="1"/>
    <xf numFmtId="0" fontId="0" fillId="66" borderId="24" xfId="0" applyFill="1" applyBorder="1"/>
    <xf numFmtId="0" fontId="0" fillId="67" borderId="24" xfId="0" applyFill="1" applyBorder="1"/>
    <xf numFmtId="0" fontId="0" fillId="68" borderId="24" xfId="0" applyFill="1" applyBorder="1"/>
    <xf numFmtId="0" fontId="0" fillId="69" borderId="24" xfId="0" applyFill="1" applyBorder="1"/>
    <xf numFmtId="0" fontId="0" fillId="0" borderId="38" xfId="0" applyBorder="1" applyAlignment="1">
      <alignment horizontal="center" vertical="center"/>
    </xf>
    <xf numFmtId="0" fontId="0" fillId="4" borderId="133" xfId="0" applyFill="1" applyBorder="1" applyAlignment="1">
      <alignment vertical="center"/>
    </xf>
    <xf numFmtId="0" fontId="0" fillId="4" borderId="134" xfId="0" applyFill="1" applyBorder="1" applyAlignment="1">
      <alignment horizontal="center" vertical="center"/>
    </xf>
    <xf numFmtId="0" fontId="0" fillId="4" borderId="135" xfId="0" applyFill="1" applyBorder="1" applyAlignment="1">
      <alignment horizontal="center" vertical="center"/>
    </xf>
    <xf numFmtId="0" fontId="0" fillId="4" borderId="136" xfId="0" applyFill="1" applyBorder="1" applyAlignment="1">
      <alignment horizontal="center" vertical="center"/>
    </xf>
    <xf numFmtId="0" fontId="0" fillId="4" borderId="137" xfId="0" applyFill="1" applyBorder="1" applyAlignment="1">
      <alignment horizontal="right" vertical="center"/>
    </xf>
    <xf numFmtId="0" fontId="0" fillId="4" borderId="138" xfId="0" applyFill="1" applyBorder="1" applyAlignment="1">
      <alignment horizontal="left" vertical="center"/>
    </xf>
    <xf numFmtId="0" fontId="0" fillId="4" borderId="139" xfId="0" applyFill="1" applyBorder="1" applyAlignment="1">
      <alignment horizontal="center" vertical="center"/>
    </xf>
    <xf numFmtId="0" fontId="0" fillId="4" borderId="140" xfId="0" applyFill="1" applyBorder="1" applyAlignment="1">
      <alignment vertical="center"/>
    </xf>
    <xf numFmtId="0" fontId="0" fillId="4" borderId="140" xfId="0" applyFill="1" applyBorder="1" applyAlignment="1">
      <alignment horizontal="center" vertical="center"/>
    </xf>
    <xf numFmtId="0" fontId="0" fillId="4" borderId="140" xfId="0" applyFill="1" applyBorder="1" applyAlignment="1">
      <alignment horizontal="left" vertical="center"/>
    </xf>
    <xf numFmtId="0" fontId="0" fillId="4" borderId="138" xfId="0" applyFill="1" applyBorder="1" applyAlignment="1">
      <alignment vertical="center"/>
    </xf>
    <xf numFmtId="0" fontId="0" fillId="4" borderId="135" xfId="0" applyFill="1" applyBorder="1" applyAlignment="1">
      <alignment vertical="center"/>
    </xf>
    <xf numFmtId="0" fontId="0" fillId="4" borderId="138" xfId="0" applyFill="1" applyBorder="1" applyAlignment="1">
      <alignment horizontal="center" vertical="center"/>
    </xf>
    <xf numFmtId="0" fontId="0" fillId="4" borderId="141" xfId="0" applyFill="1" applyBorder="1" applyAlignment="1">
      <alignment horizontal="center" vertical="center"/>
    </xf>
    <xf numFmtId="0" fontId="0" fillId="4" borderId="142" xfId="0" applyFill="1" applyBorder="1" applyAlignment="1">
      <alignment horizontal="center" vertical="center"/>
    </xf>
    <xf numFmtId="0" fontId="0" fillId="4" borderId="143" xfId="0" applyFill="1" applyBorder="1" applyAlignment="1">
      <alignment horizontal="center" vertical="center"/>
    </xf>
    <xf numFmtId="0" fontId="0" fillId="4" borderId="144" xfId="0" applyFill="1" applyBorder="1" applyAlignment="1">
      <alignment horizontal="center" vertical="center"/>
    </xf>
    <xf numFmtId="0" fontId="0" fillId="4" borderId="142" xfId="0" applyFill="1" applyBorder="1" applyAlignment="1">
      <alignment horizontal="left" vertical="center"/>
    </xf>
    <xf numFmtId="0" fontId="0" fillId="4" borderId="145" xfId="0" applyFill="1" applyBorder="1" applyAlignment="1">
      <alignment horizontal="center" vertical="center"/>
    </xf>
    <xf numFmtId="0" fontId="0" fillId="4" borderId="146" xfId="0" applyFill="1" applyBorder="1" applyAlignment="1">
      <alignment horizontal="center" vertical="center"/>
    </xf>
    <xf numFmtId="0" fontId="0" fillId="4" borderId="147" xfId="0" applyFill="1" applyBorder="1" applyAlignment="1">
      <alignment horizontal="center" vertical="center"/>
    </xf>
    <xf numFmtId="0" fontId="0" fillId="4" borderId="62" xfId="0" applyFill="1" applyBorder="1" applyAlignment="1">
      <alignment horizontal="left" vertical="center"/>
    </xf>
    <xf numFmtId="0" fontId="0" fillId="4" borderId="148" xfId="0" applyFill="1" applyBorder="1" applyAlignment="1">
      <alignment horizontal="center" vertical="center"/>
    </xf>
    <xf numFmtId="0" fontId="0" fillId="4" borderId="29" xfId="0" applyFill="1" applyBorder="1" applyAlignment="1">
      <alignment horizontal="left" vertical="center"/>
    </xf>
    <xf numFmtId="0" fontId="0" fillId="4" borderId="146" xfId="0" applyFill="1" applyBorder="1" applyAlignment="1">
      <alignment vertical="center"/>
    </xf>
    <xf numFmtId="0" fontId="0" fillId="4" borderId="149" xfId="0" applyFill="1" applyBorder="1" applyAlignment="1">
      <alignment horizontal="center" vertical="center"/>
    </xf>
    <xf numFmtId="0" fontId="0" fillId="4" borderId="150" xfId="0" applyFill="1" applyBorder="1" applyAlignment="1">
      <alignment horizontal="center" vertical="center"/>
    </xf>
    <xf numFmtId="0" fontId="0" fillId="4" borderId="151" xfId="0" applyFill="1" applyBorder="1" applyAlignment="1">
      <alignment horizontal="center" vertical="center"/>
    </xf>
    <xf numFmtId="0" fontId="0" fillId="4" borderId="152" xfId="0" applyFill="1" applyBorder="1" applyAlignment="1">
      <alignment horizontal="center" vertical="center"/>
    </xf>
    <xf numFmtId="0" fontId="0" fillId="4" borderId="150" xfId="0" applyFill="1" applyBorder="1" applyAlignment="1">
      <alignment horizontal="left" vertical="center"/>
    </xf>
    <xf numFmtId="0" fontId="0" fillId="4" borderId="153" xfId="0" applyFill="1" applyBorder="1" applyAlignment="1">
      <alignment horizontal="center" vertical="center"/>
    </xf>
    <xf numFmtId="0" fontId="0" fillId="4" borderId="154" xfId="0" applyFill="1" applyBorder="1" applyAlignment="1">
      <alignment horizontal="center" vertical="center"/>
    </xf>
    <xf numFmtId="0" fontId="0" fillId="4" borderId="155" xfId="0" applyFill="1" applyBorder="1" applyAlignment="1">
      <alignment horizontal="center" vertical="center"/>
    </xf>
    <xf numFmtId="0" fontId="0" fillId="4" borderId="66" xfId="0" applyFill="1" applyBorder="1" applyAlignment="1">
      <alignment horizontal="left" vertical="center"/>
    </xf>
    <xf numFmtId="0" fontId="0" fillId="4" borderId="156" xfId="0" applyFill="1" applyBorder="1" applyAlignment="1">
      <alignment horizontal="center" vertical="center"/>
    </xf>
    <xf numFmtId="0" fontId="0" fillId="4" borderId="63" xfId="0" applyFill="1" applyBorder="1" applyAlignment="1">
      <alignment horizontal="left" vertical="center"/>
    </xf>
    <xf numFmtId="0" fontId="0" fillId="4" borderId="157" xfId="0" applyFill="1" applyBorder="1" applyAlignment="1">
      <alignment vertical="center"/>
    </xf>
    <xf numFmtId="0" fontId="0" fillId="4" borderId="158" xfId="0" applyFill="1" applyBorder="1" applyAlignment="1">
      <alignment horizontal="center" vertical="center"/>
    </xf>
    <xf numFmtId="0" fontId="0" fillId="4" borderId="159" xfId="0" applyFill="1" applyBorder="1" applyAlignment="1">
      <alignment horizontal="center" vertical="center"/>
    </xf>
    <xf numFmtId="0" fontId="0" fillId="4" borderId="160" xfId="0" applyFill="1" applyBorder="1" applyAlignment="1">
      <alignment horizontal="center" vertical="center"/>
    </xf>
    <xf numFmtId="0" fontId="0" fillId="4" borderId="161" xfId="0" applyFill="1" applyBorder="1" applyAlignment="1">
      <alignment horizontal="center" vertical="center"/>
    </xf>
    <xf numFmtId="0" fontId="0" fillId="4" borderId="159" xfId="0" applyFill="1" applyBorder="1" applyAlignment="1">
      <alignment horizontal="left" vertical="center"/>
    </xf>
    <xf numFmtId="0" fontId="0" fillId="60" borderId="38" xfId="0" applyFill="1" applyBorder="1" applyAlignment="1">
      <alignment horizontal="center" vertical="center"/>
    </xf>
    <xf numFmtId="0" fontId="0" fillId="60" borderId="47" xfId="0" applyFill="1" applyBorder="1" applyAlignment="1">
      <alignment horizontal="right"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60" borderId="148" xfId="0" applyFill="1" applyBorder="1" applyAlignment="1">
      <alignment horizontal="center" vertical="center"/>
    </xf>
    <xf numFmtId="0" fontId="0" fillId="32" borderId="150" xfId="0" applyFill="1" applyBorder="1" applyAlignment="1">
      <alignment horizontal="center" vertical="center"/>
    </xf>
    <xf numFmtId="0" fontId="0" fillId="32" borderId="29" xfId="0" applyFill="1" applyBorder="1" applyAlignment="1">
      <alignment horizontal="center" vertical="center"/>
    </xf>
    <xf numFmtId="0" fontId="0" fillId="32" borderId="148" xfId="0" applyFill="1" applyBorder="1" applyAlignment="1">
      <alignment horizontal="center" vertical="center"/>
    </xf>
    <xf numFmtId="0" fontId="0" fillId="4" borderId="164" xfId="0" applyFill="1" applyBorder="1" applyAlignment="1">
      <alignment horizontal="center" vertical="center"/>
    </xf>
    <xf numFmtId="0" fontId="0" fillId="4" borderId="165" xfId="0" applyFill="1" applyBorder="1" applyAlignment="1">
      <alignment horizontal="center" vertical="center"/>
    </xf>
    <xf numFmtId="0" fontId="0" fillId="4" borderId="166" xfId="0" applyFill="1" applyBorder="1" applyAlignment="1">
      <alignment horizontal="center" vertical="center"/>
    </xf>
    <xf numFmtId="0" fontId="0" fillId="4" borderId="61" xfId="0" applyFill="1" applyBorder="1" applyAlignment="1">
      <alignment horizontal="left" vertical="center"/>
    </xf>
    <xf numFmtId="0" fontId="0" fillId="4" borderId="167" xfId="0" applyFill="1" applyBorder="1" applyAlignment="1">
      <alignment horizontal="center" vertical="center"/>
    </xf>
    <xf numFmtId="0" fontId="0" fillId="4" borderId="13" xfId="0" applyFill="1" applyBorder="1" applyAlignment="1">
      <alignment horizontal="left" vertical="center"/>
    </xf>
    <xf numFmtId="0" fontId="0" fillId="4" borderId="165" xfId="0" applyFill="1" applyBorder="1" applyAlignment="1">
      <alignment vertical="center"/>
    </xf>
    <xf numFmtId="0" fontId="0" fillId="4" borderId="168" xfId="0" applyFill="1" applyBorder="1" applyAlignment="1">
      <alignment horizontal="center" vertical="center"/>
    </xf>
    <xf numFmtId="0" fontId="0" fillId="4" borderId="169" xfId="0" applyFill="1" applyBorder="1" applyAlignment="1">
      <alignment horizontal="center" vertical="center"/>
    </xf>
    <xf numFmtId="0" fontId="0" fillId="4" borderId="170" xfId="0" applyFill="1" applyBorder="1" applyAlignment="1">
      <alignment horizontal="center" vertical="center"/>
    </xf>
    <xf numFmtId="0" fontId="0" fillId="4" borderId="171" xfId="0" applyFill="1" applyBorder="1" applyAlignment="1">
      <alignment horizontal="center" vertical="center"/>
    </xf>
    <xf numFmtId="0" fontId="0" fillId="4" borderId="169" xfId="0" applyFill="1" applyBorder="1" applyAlignment="1">
      <alignment horizontal="left" vertical="center"/>
    </xf>
    <xf numFmtId="0" fontId="0" fillId="60" borderId="49" xfId="0" applyFill="1" applyBorder="1" applyAlignment="1">
      <alignment horizontal="center" vertical="center"/>
    </xf>
    <xf numFmtId="0" fontId="0" fillId="0" borderId="49" xfId="0" applyBorder="1" applyAlignment="1">
      <alignment horizontal="center" vertical="center"/>
    </xf>
    <xf numFmtId="0" fontId="0" fillId="3" borderId="0" xfId="0" applyFill="1" applyAlignment="1" applyProtection="1">
      <alignment horizontal="center" vertical="center"/>
      <protection hidden="1"/>
    </xf>
    <xf numFmtId="0" fontId="19" fillId="3" borderId="0" xfId="0" applyFont="1" applyFill="1" applyAlignment="1" applyProtection="1">
      <alignment horizontal="left" vertical="center"/>
      <protection hidden="1"/>
    </xf>
    <xf numFmtId="0" fontId="0" fillId="63" borderId="15" xfId="0" applyFill="1" applyBorder="1" applyAlignment="1" applyProtection="1">
      <alignment horizontal="right" vertical="center"/>
      <protection hidden="1"/>
    </xf>
    <xf numFmtId="0" fontId="0" fillId="4" borderId="15" xfId="0" applyFill="1" applyBorder="1" applyAlignment="1" applyProtection="1">
      <alignment horizontal="center" vertical="center"/>
      <protection hidden="1"/>
    </xf>
    <xf numFmtId="0" fontId="0" fillId="63" borderId="15" xfId="0" applyFill="1" applyBorder="1" applyAlignment="1" applyProtection="1">
      <alignment horizontal="center" vertical="center"/>
      <protection hidden="1"/>
    </xf>
    <xf numFmtId="0" fontId="34" fillId="3" borderId="0" xfId="0" applyFont="1" applyFill="1" applyAlignment="1" applyProtection="1">
      <alignment horizontal="center" vertical="center"/>
      <protection hidden="1"/>
    </xf>
    <xf numFmtId="0" fontId="59" fillId="29" borderId="77" xfId="0" applyFont="1" applyFill="1" applyBorder="1" applyAlignment="1" applyProtection="1">
      <alignment horizontal="center" vertical="center"/>
      <protection hidden="1"/>
    </xf>
    <xf numFmtId="0" fontId="59" fillId="60" borderId="62" xfId="0" applyFont="1" applyFill="1" applyBorder="1" applyAlignment="1" applyProtection="1">
      <alignment horizontal="center" vertical="center"/>
      <protection hidden="1"/>
    </xf>
    <xf numFmtId="0" fontId="59" fillId="3" borderId="20" xfId="0" applyFont="1" applyFill="1" applyBorder="1" applyAlignment="1" applyProtection="1">
      <alignment horizontal="center" vertical="center"/>
      <protection hidden="1"/>
    </xf>
    <xf numFmtId="0" fontId="59" fillId="28" borderId="67" xfId="0" applyFont="1" applyFill="1" applyBorder="1" applyAlignment="1" applyProtection="1">
      <alignment horizontal="center" vertical="center"/>
      <protection hidden="1"/>
    </xf>
    <xf numFmtId="0" fontId="59" fillId="3" borderId="110" xfId="0" applyFont="1" applyFill="1" applyBorder="1" applyAlignment="1" applyProtection="1">
      <alignment horizontal="center" vertical="center"/>
      <protection hidden="1"/>
    </xf>
    <xf numFmtId="0" fontId="59" fillId="26" borderId="67" xfId="0" applyFont="1" applyFill="1" applyBorder="1" applyAlignment="1" applyProtection="1">
      <alignment horizontal="center" vertical="center"/>
      <protection hidden="1"/>
    </xf>
    <xf numFmtId="0" fontId="59" fillId="26" borderId="80" xfId="0" applyFont="1" applyFill="1" applyBorder="1" applyAlignment="1" applyProtection="1">
      <alignment horizontal="center" vertical="center"/>
      <protection hidden="1"/>
    </xf>
    <xf numFmtId="0" fontId="3" fillId="29" borderId="77" xfId="0" applyFont="1" applyFill="1" applyBorder="1" applyAlignment="1" applyProtection="1">
      <alignment horizontal="center" vertical="center"/>
      <protection hidden="1"/>
    </xf>
    <xf numFmtId="0" fontId="3" fillId="3" borderId="62" xfId="0" applyFont="1" applyFill="1" applyBorder="1" applyAlignment="1" applyProtection="1">
      <alignment horizontal="center" vertical="center"/>
      <protection hidden="1"/>
    </xf>
    <xf numFmtId="0" fontId="3" fillId="3" borderId="20" xfId="0" applyFont="1" applyFill="1" applyBorder="1" applyAlignment="1" applyProtection="1">
      <alignment horizontal="center" vertical="center"/>
      <protection hidden="1"/>
    </xf>
    <xf numFmtId="0" fontId="3" fillId="3" borderId="68" xfId="0" applyFont="1" applyFill="1" applyBorder="1" applyAlignment="1" applyProtection="1">
      <alignment horizontal="center" vertical="center"/>
      <protection hidden="1"/>
    </xf>
    <xf numFmtId="0" fontId="3" fillId="3" borderId="110" xfId="0" applyFont="1" applyFill="1" applyBorder="1" applyAlignment="1" applyProtection="1">
      <alignment horizontal="center" vertical="center"/>
      <protection hidden="1"/>
    </xf>
    <xf numFmtId="0" fontId="2" fillId="3" borderId="68" xfId="0" applyFont="1" applyFill="1" applyBorder="1" applyAlignment="1" applyProtection="1">
      <alignment horizontal="center" vertical="center"/>
      <protection hidden="1"/>
    </xf>
    <xf numFmtId="0" fontId="3" fillId="3" borderId="81" xfId="0" applyFont="1" applyFill="1" applyBorder="1" applyAlignment="1" applyProtection="1">
      <alignment horizontal="center" vertical="center"/>
      <protection hidden="1"/>
    </xf>
    <xf numFmtId="0" fontId="3" fillId="3" borderId="77" xfId="0" applyFont="1" applyFill="1" applyBorder="1" applyAlignment="1" applyProtection="1">
      <alignment horizontal="center" vertical="center"/>
      <protection hidden="1"/>
    </xf>
    <xf numFmtId="0" fontId="0" fillId="2" borderId="77" xfId="0" applyFill="1" applyBorder="1" applyAlignment="1" applyProtection="1">
      <alignment horizontal="center" vertical="center"/>
      <protection hidden="1"/>
    </xf>
    <xf numFmtId="0" fontId="0" fillId="60" borderId="62" xfId="0" applyFill="1" applyBorder="1" applyAlignment="1" applyProtection="1">
      <alignment horizontal="center" vertical="center"/>
      <protection hidden="1"/>
    </xf>
    <xf numFmtId="0" fontId="0" fillId="3" borderId="20" xfId="0" applyFill="1" applyBorder="1" applyAlignment="1" applyProtection="1">
      <alignment horizontal="center" vertical="center"/>
      <protection hidden="1"/>
    </xf>
    <xf numFmtId="0" fontId="0" fillId="8" borderId="68" xfId="0" applyFill="1" applyBorder="1" applyAlignment="1" applyProtection="1">
      <alignment horizontal="center" vertical="center"/>
      <protection hidden="1"/>
    </xf>
    <xf numFmtId="0" fontId="0" fillId="3" borderId="110" xfId="0" applyFill="1" applyBorder="1" applyAlignment="1" applyProtection="1">
      <alignment horizontal="center" vertical="center"/>
      <protection hidden="1"/>
    </xf>
    <xf numFmtId="0" fontId="0" fillId="16" borderId="68" xfId="0" applyFill="1" applyBorder="1" applyAlignment="1" applyProtection="1">
      <alignment horizontal="center" vertical="center"/>
      <protection hidden="1"/>
    </xf>
    <xf numFmtId="0" fontId="0" fillId="16" borderId="81" xfId="0" applyFill="1" applyBorder="1" applyAlignment="1" applyProtection="1">
      <alignment horizontal="center" vertical="center"/>
      <protection hidden="1"/>
    </xf>
    <xf numFmtId="0" fontId="0" fillId="2" borderId="123" xfId="0" applyFill="1" applyBorder="1" applyAlignment="1" applyProtection="1">
      <alignment horizontal="center" vertical="center"/>
      <protection hidden="1"/>
    </xf>
    <xf numFmtId="0" fontId="0" fillId="60" borderId="127" xfId="0" applyFill="1" applyBorder="1" applyAlignment="1" applyProtection="1">
      <alignment horizontal="center" vertical="center"/>
      <protection hidden="1"/>
    </xf>
    <xf numFmtId="0" fontId="0" fillId="8" borderId="124" xfId="0" applyFill="1" applyBorder="1" applyAlignment="1" applyProtection="1">
      <alignment horizontal="center" vertical="center"/>
      <protection hidden="1"/>
    </xf>
    <xf numFmtId="0" fontId="0" fillId="16" borderId="124" xfId="0" applyFill="1" applyBorder="1" applyAlignment="1" applyProtection="1">
      <alignment horizontal="center" vertical="center"/>
      <protection hidden="1"/>
    </xf>
    <xf numFmtId="0" fontId="0" fillId="16" borderId="125" xfId="0" applyFill="1" applyBorder="1" applyAlignment="1" applyProtection="1">
      <alignment horizontal="center" vertical="center"/>
      <protection hidden="1"/>
    </xf>
    <xf numFmtId="0" fontId="0" fillId="5" borderId="76" xfId="0" applyFill="1" applyBorder="1" applyAlignment="1" applyProtection="1">
      <alignment horizontal="center" vertical="center"/>
      <protection hidden="1"/>
    </xf>
    <xf numFmtId="0" fontId="0" fillId="3" borderId="61" xfId="0" applyFill="1" applyBorder="1" applyAlignment="1" applyProtection="1">
      <alignment horizontal="center" vertical="center"/>
      <protection hidden="1"/>
    </xf>
    <xf numFmtId="0" fontId="0" fillId="0" borderId="67" xfId="0" applyBorder="1" applyAlignment="1" applyProtection="1">
      <alignment horizontal="center" vertical="center"/>
      <protection hidden="1"/>
    </xf>
    <xf numFmtId="0" fontId="0" fillId="0" borderId="80" xfId="0" applyBorder="1" applyAlignment="1" applyProtection="1">
      <alignment horizontal="center" vertical="center"/>
      <protection hidden="1"/>
    </xf>
    <xf numFmtId="0" fontId="0" fillId="5" borderId="77" xfId="0" applyFill="1" applyBorder="1" applyAlignment="1" applyProtection="1">
      <alignment horizontal="center" vertical="center"/>
      <protection hidden="1"/>
    </xf>
    <xf numFmtId="0" fontId="0" fillId="3" borderId="62" xfId="0" applyFill="1" applyBorder="1" applyAlignment="1" applyProtection="1">
      <alignment horizontal="center" vertical="center"/>
      <protection hidden="1"/>
    </xf>
    <xf numFmtId="0" fontId="0" fillId="0" borderId="68" xfId="0" applyBorder="1" applyAlignment="1" applyProtection="1">
      <alignment horizontal="center" vertical="center"/>
      <protection hidden="1"/>
    </xf>
    <xf numFmtId="0" fontId="0" fillId="0" borderId="81" xfId="0" applyBorder="1" applyAlignment="1" applyProtection="1">
      <alignment horizontal="center" vertical="center"/>
      <protection hidden="1"/>
    </xf>
    <xf numFmtId="0" fontId="0" fillId="5" borderId="123" xfId="0" applyFill="1" applyBorder="1" applyAlignment="1" applyProtection="1">
      <alignment horizontal="center" vertical="center"/>
      <protection hidden="1"/>
    </xf>
    <xf numFmtId="0" fontId="0" fillId="3" borderId="127" xfId="0" applyFill="1" applyBorder="1" applyAlignment="1" applyProtection="1">
      <alignment horizontal="center" vertical="center"/>
      <protection hidden="1"/>
    </xf>
    <xf numFmtId="0" fontId="0" fillId="0" borderId="124" xfId="0" applyBorder="1" applyAlignment="1" applyProtection="1">
      <alignment horizontal="center" vertical="center"/>
      <protection hidden="1"/>
    </xf>
    <xf numFmtId="0" fontId="0" fillId="0" borderId="125" xfId="0" applyBorder="1" applyAlignment="1" applyProtection="1">
      <alignment horizontal="center" vertical="center"/>
      <protection hidden="1"/>
    </xf>
    <xf numFmtId="0" fontId="0" fillId="27" borderId="76" xfId="0" applyFill="1" applyBorder="1" applyAlignment="1" applyProtection="1">
      <alignment horizontal="center" vertical="center"/>
      <protection hidden="1"/>
    </xf>
    <xf numFmtId="0" fontId="0" fillId="4" borderId="61" xfId="0" applyFill="1" applyBorder="1" applyAlignment="1" applyProtection="1">
      <alignment horizontal="center" vertical="center"/>
      <protection hidden="1"/>
    </xf>
    <xf numFmtId="0" fontId="0" fillId="27" borderId="77" xfId="0" applyFill="1" applyBorder="1" applyAlignment="1" applyProtection="1">
      <alignment horizontal="center" vertical="center"/>
      <protection hidden="1"/>
    </xf>
    <xf numFmtId="0" fontId="0" fillId="4" borderId="62" xfId="0" applyFill="1" applyBorder="1" applyAlignment="1" applyProtection="1">
      <alignment horizontal="center" vertical="center"/>
      <protection hidden="1"/>
    </xf>
    <xf numFmtId="0" fontId="0" fillId="27" borderId="123" xfId="0" applyFill="1" applyBorder="1" applyAlignment="1" applyProtection="1">
      <alignment horizontal="center" vertical="center"/>
      <protection hidden="1"/>
    </xf>
    <xf numFmtId="0" fontId="0" fillId="4" borderId="127" xfId="0" applyFill="1" applyBorder="1" applyAlignment="1" applyProtection="1">
      <alignment horizontal="center" vertical="center"/>
      <protection hidden="1"/>
    </xf>
    <xf numFmtId="0" fontId="0" fillId="64" borderId="76" xfId="0" applyFill="1" applyBorder="1" applyAlignment="1" applyProtection="1">
      <alignment horizontal="center" vertical="center"/>
      <protection hidden="1"/>
    </xf>
    <xf numFmtId="0" fontId="0" fillId="4" borderId="67" xfId="0" applyFill="1" applyBorder="1" applyAlignment="1" applyProtection="1">
      <alignment horizontal="center" vertical="center"/>
      <protection hidden="1"/>
    </xf>
    <xf numFmtId="0" fontId="0" fillId="4" borderId="80" xfId="0" applyFill="1" applyBorder="1" applyAlignment="1" applyProtection="1">
      <alignment horizontal="center" vertical="center"/>
      <protection hidden="1"/>
    </xf>
    <xf numFmtId="0" fontId="0" fillId="64" borderId="77" xfId="0" applyFill="1" applyBorder="1" applyAlignment="1" applyProtection="1">
      <alignment horizontal="center" vertical="center"/>
      <protection hidden="1"/>
    </xf>
    <xf numFmtId="0" fontId="0" fillId="4" borderId="68" xfId="0" applyFill="1" applyBorder="1" applyAlignment="1" applyProtection="1">
      <alignment horizontal="center" vertical="center"/>
      <protection hidden="1"/>
    </xf>
    <xf numFmtId="0" fontId="0" fillId="4" borderId="81" xfId="0" applyFill="1" applyBorder="1" applyAlignment="1" applyProtection="1">
      <alignment horizontal="center" vertical="center"/>
      <protection hidden="1"/>
    </xf>
    <xf numFmtId="0" fontId="0" fillId="64" borderId="123" xfId="0" applyFill="1" applyBorder="1" applyAlignment="1" applyProtection="1">
      <alignment horizontal="center" vertical="center"/>
      <protection hidden="1"/>
    </xf>
    <xf numFmtId="0" fontId="0" fillId="4" borderId="124" xfId="0" applyFill="1" applyBorder="1" applyAlignment="1" applyProtection="1">
      <alignment horizontal="center" vertical="center"/>
      <protection hidden="1"/>
    </xf>
    <xf numFmtId="0" fontId="0" fillId="4" borderId="125" xfId="0" applyFill="1" applyBorder="1" applyAlignment="1" applyProtection="1">
      <alignment horizontal="center" vertical="center"/>
      <protection hidden="1"/>
    </xf>
    <xf numFmtId="0" fontId="0" fillId="65" borderId="76" xfId="0" applyFill="1" applyBorder="1" applyAlignment="1" applyProtection="1">
      <alignment horizontal="center" vertical="center"/>
      <protection hidden="1"/>
    </xf>
    <xf numFmtId="0" fontId="0" fillId="3" borderId="67" xfId="0" applyFill="1" applyBorder="1" applyAlignment="1" applyProtection="1">
      <alignment horizontal="center" vertical="center"/>
      <protection hidden="1"/>
    </xf>
    <xf numFmtId="0" fontId="0" fillId="3" borderId="80" xfId="0" applyFill="1" applyBorder="1" applyAlignment="1" applyProtection="1">
      <alignment horizontal="center" vertical="center"/>
      <protection hidden="1"/>
    </xf>
    <xf numFmtId="0" fontId="0" fillId="65" borderId="77" xfId="0" applyFill="1" applyBorder="1" applyAlignment="1" applyProtection="1">
      <alignment horizontal="center" vertical="center"/>
      <protection hidden="1"/>
    </xf>
    <xf numFmtId="0" fontId="0" fillId="3" borderId="68" xfId="0" applyFill="1" applyBorder="1" applyAlignment="1" applyProtection="1">
      <alignment horizontal="center" vertical="center"/>
      <protection hidden="1"/>
    </xf>
    <xf numFmtId="0" fontId="0" fillId="3" borderId="81" xfId="0" applyFill="1" applyBorder="1" applyAlignment="1" applyProtection="1">
      <alignment horizontal="center" vertical="center"/>
      <protection hidden="1"/>
    </xf>
    <xf numFmtId="0" fontId="0" fillId="65" borderId="123" xfId="0" applyFill="1" applyBorder="1" applyAlignment="1" applyProtection="1">
      <alignment horizontal="center" vertical="center"/>
      <protection hidden="1"/>
    </xf>
    <xf numFmtId="0" fontId="0" fillId="12" borderId="76" xfId="0" applyFill="1" applyBorder="1" applyAlignment="1" applyProtection="1">
      <alignment horizontal="center" vertical="center"/>
      <protection hidden="1"/>
    </xf>
    <xf numFmtId="0" fontId="0" fillId="12" borderId="77" xfId="0" applyFill="1" applyBorder="1" applyAlignment="1" applyProtection="1">
      <alignment horizontal="center" vertical="center"/>
      <protection hidden="1"/>
    </xf>
    <xf numFmtId="0" fontId="0" fillId="12" borderId="78" xfId="0" applyFill="1" applyBorder="1" applyAlignment="1" applyProtection="1">
      <alignment horizontal="center" vertical="center"/>
      <protection hidden="1"/>
    </xf>
    <xf numFmtId="0" fontId="0" fillId="4" borderId="69" xfId="0" applyFill="1" applyBorder="1" applyAlignment="1" applyProtection="1">
      <alignment horizontal="center" vertical="center"/>
      <protection hidden="1"/>
    </xf>
    <xf numFmtId="0" fontId="0" fillId="4" borderId="82" xfId="0" applyFill="1" applyBorder="1" applyAlignment="1" applyProtection="1">
      <alignment horizontal="center" vertical="center"/>
      <protection hidden="1"/>
    </xf>
    <xf numFmtId="0" fontId="0" fillId="3" borderId="126" xfId="0" applyFill="1" applyBorder="1" applyAlignment="1" applyProtection="1">
      <alignment horizontal="center" vertical="center"/>
      <protection hidden="1"/>
    </xf>
    <xf numFmtId="0" fontId="28" fillId="70" borderId="24" xfId="0" applyFont="1" applyFill="1" applyBorder="1"/>
    <xf numFmtId="0" fontId="39" fillId="4" borderId="0" xfId="0" applyFont="1" applyFill="1" applyAlignment="1" applyProtection="1">
      <alignment vertical="top" wrapText="1"/>
      <protection hidden="1"/>
    </xf>
    <xf numFmtId="0" fontId="29" fillId="4" borderId="128" xfId="0" applyFont="1" applyFill="1" applyBorder="1" applyAlignment="1" applyProtection="1">
      <alignment vertical="center"/>
      <protection hidden="1"/>
    </xf>
    <xf numFmtId="0" fontId="29" fillId="4" borderId="129" xfId="0" applyFont="1" applyFill="1" applyBorder="1" applyAlignment="1" applyProtection="1">
      <alignment vertical="center"/>
      <protection hidden="1"/>
    </xf>
    <xf numFmtId="0" fontId="29" fillId="4" borderId="130" xfId="0" applyFont="1" applyFill="1" applyBorder="1" applyAlignment="1" applyProtection="1">
      <alignment vertical="center"/>
      <protection hidden="1"/>
    </xf>
    <xf numFmtId="0" fontId="18" fillId="3" borderId="0" xfId="0" applyFont="1" applyFill="1" applyAlignment="1" applyProtection="1">
      <alignment vertical="center"/>
      <protection hidden="1"/>
    </xf>
    <xf numFmtId="0" fontId="22" fillId="3" borderId="0" xfId="0" applyFont="1" applyFill="1" applyAlignment="1" applyProtection="1">
      <alignment vertical="center"/>
      <protection hidden="1"/>
    </xf>
    <xf numFmtId="0" fontId="18" fillId="3" borderId="0" xfId="0" applyFont="1" applyFill="1" applyAlignment="1" applyProtection="1">
      <alignment horizontal="center" vertical="center"/>
      <protection hidden="1"/>
    </xf>
    <xf numFmtId="0" fontId="22" fillId="3" borderId="114" xfId="0" applyFont="1" applyFill="1" applyBorder="1" applyAlignment="1" applyProtection="1">
      <alignment vertical="center"/>
      <protection hidden="1"/>
    </xf>
    <xf numFmtId="0" fontId="18" fillId="3" borderId="114" xfId="0" applyFont="1" applyFill="1" applyBorder="1" applyAlignment="1" applyProtection="1">
      <alignment horizontal="center" vertical="center"/>
      <protection hidden="1"/>
    </xf>
    <xf numFmtId="49" fontId="50" fillId="38" borderId="63" xfId="0" applyNumberFormat="1" applyFont="1" applyFill="1" applyBorder="1" applyAlignment="1" applyProtection="1">
      <alignment vertical="center"/>
      <protection hidden="1"/>
    </xf>
    <xf numFmtId="0" fontId="0" fillId="60" borderId="3" xfId="0" applyFill="1" applyBorder="1" applyAlignment="1">
      <alignment horizontal="center" vertical="center"/>
    </xf>
    <xf numFmtId="0" fontId="65" fillId="4" borderId="20" xfId="0" applyFont="1" applyFill="1" applyBorder="1" applyProtection="1">
      <protection hidden="1"/>
    </xf>
    <xf numFmtId="0" fontId="0" fillId="0" borderId="67" xfId="0" applyBorder="1" applyAlignment="1">
      <alignment horizontal="center" vertical="center"/>
    </xf>
    <xf numFmtId="0" fontId="0" fillId="0" borderId="68" xfId="0" applyBorder="1" applyAlignment="1">
      <alignment horizontal="center" vertical="center"/>
    </xf>
    <xf numFmtId="0" fontId="0" fillId="3" borderId="104" xfId="0" applyFill="1" applyBorder="1" applyAlignment="1">
      <alignment horizontal="center" vertical="center"/>
    </xf>
    <xf numFmtId="0" fontId="0" fillId="3" borderId="29" xfId="0" applyFill="1" applyBorder="1" applyAlignment="1">
      <alignment horizontal="center" vertical="center"/>
    </xf>
    <xf numFmtId="0" fontId="45" fillId="4" borderId="13" xfId="0" applyFont="1" applyFill="1" applyBorder="1" applyAlignment="1" applyProtection="1">
      <alignment horizontal="center" vertical="center"/>
      <protection hidden="1"/>
    </xf>
    <xf numFmtId="0" fontId="16" fillId="4" borderId="0" xfId="0" applyFont="1" applyFill="1" applyAlignment="1" applyProtection="1">
      <alignment horizontal="left" vertical="top" wrapText="1"/>
      <protection hidden="1"/>
    </xf>
    <xf numFmtId="0" fontId="44" fillId="4" borderId="0" xfId="0" applyFont="1" applyFill="1" applyAlignment="1" applyProtection="1">
      <alignment horizontal="left" vertical="center"/>
      <protection hidden="1"/>
    </xf>
    <xf numFmtId="0" fontId="0" fillId="14" borderId="17" xfId="0" applyFill="1" applyBorder="1" applyAlignment="1">
      <alignment horizontal="center"/>
    </xf>
    <xf numFmtId="0" fontId="0" fillId="15" borderId="19" xfId="0" applyFill="1" applyBorder="1" applyAlignment="1">
      <alignment horizontal="center"/>
    </xf>
    <xf numFmtId="0" fontId="27" fillId="4" borderId="0" xfId="0" applyFont="1" applyFill="1" applyAlignment="1" applyProtection="1">
      <alignment horizontal="center" vertical="center"/>
      <protection hidden="1"/>
    </xf>
    <xf numFmtId="49" fontId="50" fillId="38" borderId="74" xfId="1" applyNumberFormat="1" applyFont="1" applyFill="1" applyBorder="1" applyAlignment="1" applyProtection="1">
      <alignment horizontal="center" vertical="center" wrapText="1"/>
      <protection hidden="1"/>
    </xf>
    <xf numFmtId="49" fontId="50" fillId="38" borderId="75" xfId="1" applyNumberFormat="1" applyFont="1" applyFill="1" applyBorder="1" applyAlignment="1" applyProtection="1">
      <alignment horizontal="center" vertical="center"/>
      <protection hidden="1"/>
    </xf>
    <xf numFmtId="49" fontId="50" fillId="18" borderId="74" xfId="1" applyNumberFormat="1" applyFont="1" applyFill="1" applyBorder="1" applyAlignment="1" applyProtection="1">
      <alignment horizontal="center" vertical="center" wrapText="1"/>
      <protection hidden="1"/>
    </xf>
    <xf numFmtId="49" fontId="50" fillId="18" borderId="63" xfId="1" applyNumberFormat="1" applyFont="1" applyFill="1" applyBorder="1" applyAlignment="1" applyProtection="1">
      <alignment horizontal="center" vertical="center" wrapText="1"/>
      <protection hidden="1"/>
    </xf>
    <xf numFmtId="49" fontId="50" fillId="18" borderId="75" xfId="1" applyNumberFormat="1" applyFont="1" applyFill="1" applyBorder="1" applyAlignment="1" applyProtection="1">
      <alignment horizontal="center" vertical="center" wrapText="1"/>
      <protection hidden="1"/>
    </xf>
    <xf numFmtId="49" fontId="52" fillId="38" borderId="74" xfId="1" applyNumberFormat="1" applyFont="1" applyFill="1" applyBorder="1" applyAlignment="1" applyProtection="1">
      <alignment horizontal="center" vertical="center" wrapText="1"/>
      <protection hidden="1"/>
    </xf>
    <xf numFmtId="49" fontId="52" fillId="38" borderId="75" xfId="1" applyNumberFormat="1" applyFont="1" applyFill="1" applyBorder="1" applyAlignment="1" applyProtection="1">
      <alignment horizontal="center" vertical="center" wrapText="1"/>
      <protection hidden="1"/>
    </xf>
    <xf numFmtId="0" fontId="58" fillId="4" borderId="10" xfId="0" applyFont="1" applyFill="1" applyBorder="1" applyAlignment="1" applyProtection="1">
      <alignment horizontal="center" vertical="center"/>
      <protection hidden="1"/>
    </xf>
    <xf numFmtId="0" fontId="58" fillId="4" borderId="0" xfId="0" applyFont="1" applyFill="1" applyAlignment="1" applyProtection="1">
      <alignment horizontal="center" vertical="center"/>
      <protection hidden="1"/>
    </xf>
    <xf numFmtId="0" fontId="58" fillId="4" borderId="11" xfId="0" applyFont="1" applyFill="1" applyBorder="1" applyAlignment="1" applyProtection="1">
      <alignment horizontal="center" vertical="center"/>
      <protection hidden="1"/>
    </xf>
    <xf numFmtId="0" fontId="38" fillId="4" borderId="10" xfId="0" applyFont="1" applyFill="1" applyBorder="1" applyAlignment="1" applyProtection="1">
      <alignment horizontal="center" vertical="center"/>
      <protection hidden="1"/>
    </xf>
    <xf numFmtId="0" fontId="38" fillId="4" borderId="0" xfId="0" applyFont="1" applyFill="1" applyAlignment="1" applyProtection="1">
      <alignment horizontal="center" vertical="center"/>
      <protection hidden="1"/>
    </xf>
    <xf numFmtId="0" fontId="38" fillId="4" borderId="11" xfId="0" applyFont="1" applyFill="1" applyBorder="1" applyAlignment="1" applyProtection="1">
      <alignment horizontal="center" vertical="center"/>
      <protection hidden="1"/>
    </xf>
    <xf numFmtId="0" fontId="61" fillId="4" borderId="0" xfId="0" applyFont="1" applyFill="1" applyAlignment="1" applyProtection="1">
      <alignment horizontal="center" vertical="center"/>
      <protection hidden="1"/>
    </xf>
    <xf numFmtId="0" fontId="17" fillId="4" borderId="0" xfId="0" applyFont="1" applyFill="1" applyAlignment="1" applyProtection="1">
      <alignment horizontal="left" vertical="center" wrapText="1"/>
      <protection hidden="1"/>
    </xf>
    <xf numFmtId="0" fontId="17" fillId="4" borderId="11" xfId="0" applyFont="1" applyFill="1" applyBorder="1" applyAlignment="1" applyProtection="1">
      <alignment horizontal="left" vertical="center"/>
      <protection hidden="1"/>
    </xf>
    <xf numFmtId="0" fontId="50" fillId="38" borderId="26" xfId="0" applyFont="1" applyFill="1" applyBorder="1" applyAlignment="1" applyProtection="1">
      <alignment horizontal="center" vertical="center" wrapText="1"/>
      <protection hidden="1"/>
    </xf>
    <xf numFmtId="0" fontId="50" fillId="38" borderId="29" xfId="0" applyFont="1" applyFill="1" applyBorder="1" applyAlignment="1" applyProtection="1">
      <alignment horizontal="center" vertical="center"/>
      <protection hidden="1"/>
    </xf>
    <xf numFmtId="0" fontId="50" fillId="38" borderId="30" xfId="0" applyFont="1" applyFill="1" applyBorder="1" applyAlignment="1" applyProtection="1">
      <alignment horizontal="center" vertical="center"/>
      <protection hidden="1"/>
    </xf>
    <xf numFmtId="49" fontId="1" fillId="60" borderId="26" xfId="0" applyNumberFormat="1" applyFont="1" applyFill="1" applyBorder="1" applyAlignment="1" applyProtection="1">
      <alignment horizontal="center" vertical="center"/>
      <protection locked="0" hidden="1"/>
    </xf>
    <xf numFmtId="49" fontId="1" fillId="60" borderId="29" xfId="0" applyNumberFormat="1" applyFont="1" applyFill="1" applyBorder="1" applyAlignment="1" applyProtection="1">
      <alignment horizontal="center" vertical="center"/>
      <protection locked="0" hidden="1"/>
    </xf>
    <xf numFmtId="49" fontId="1" fillId="60" borderId="30" xfId="0" applyNumberFormat="1" applyFont="1" applyFill="1" applyBorder="1" applyAlignment="1" applyProtection="1">
      <alignment horizontal="center" vertical="center"/>
      <protection locked="0" hidden="1"/>
    </xf>
    <xf numFmtId="0" fontId="17" fillId="4" borderId="11" xfId="0" applyFont="1" applyFill="1" applyBorder="1" applyAlignment="1" applyProtection="1">
      <alignment horizontal="left" vertical="center" wrapText="1"/>
      <protection hidden="1"/>
    </xf>
    <xf numFmtId="0" fontId="39" fillId="4" borderId="0" xfId="0" applyFont="1" applyFill="1" applyAlignment="1" applyProtection="1">
      <alignment horizontal="left" vertical="top" wrapText="1"/>
      <protection hidden="1"/>
    </xf>
    <xf numFmtId="0" fontId="39" fillId="4" borderId="13" xfId="0" applyFont="1" applyFill="1" applyBorder="1" applyAlignment="1" applyProtection="1">
      <alignment horizontal="left" vertical="top" wrapText="1"/>
      <protection hidden="1"/>
    </xf>
    <xf numFmtId="0" fontId="47" fillId="4" borderId="0" xfId="0" applyFont="1" applyFill="1" applyAlignment="1" applyProtection="1">
      <alignment horizontal="right" vertical="center"/>
      <protection hidden="1"/>
    </xf>
    <xf numFmtId="0" fontId="47" fillId="4" borderId="0" xfId="0" applyFont="1" applyFill="1" applyAlignment="1" applyProtection="1">
      <alignment horizontal="center" vertical="center" wrapText="1"/>
      <protection hidden="1"/>
    </xf>
    <xf numFmtId="0" fontId="20" fillId="4" borderId="0" xfId="0" applyFont="1" applyFill="1" applyAlignment="1" applyProtection="1">
      <alignment horizontal="center"/>
      <protection hidden="1"/>
    </xf>
    <xf numFmtId="0" fontId="20" fillId="4" borderId="0" xfId="0" applyFont="1" applyFill="1" applyAlignment="1" applyProtection="1">
      <alignment horizontal="right" vertical="top"/>
      <protection hidden="1"/>
    </xf>
    <xf numFmtId="0" fontId="20" fillId="4" borderId="0" xfId="0" applyFont="1" applyFill="1" applyAlignment="1" applyProtection="1">
      <alignment horizontal="center" vertical="top"/>
      <protection hidden="1"/>
    </xf>
    <xf numFmtId="0" fontId="31" fillId="4" borderId="7" xfId="0" applyFont="1" applyFill="1" applyBorder="1" applyAlignment="1" applyProtection="1">
      <alignment horizontal="center" vertical="center"/>
      <protection hidden="1"/>
    </xf>
    <xf numFmtId="0" fontId="31" fillId="4" borderId="8" xfId="0" applyFont="1" applyFill="1" applyBorder="1" applyAlignment="1" applyProtection="1">
      <alignment horizontal="center" vertical="center"/>
      <protection hidden="1"/>
    </xf>
    <xf numFmtId="0" fontId="31" fillId="4" borderId="9" xfId="0" applyFont="1" applyFill="1" applyBorder="1" applyAlignment="1" applyProtection="1">
      <alignment horizontal="center" vertical="center"/>
      <protection hidden="1"/>
    </xf>
    <xf numFmtId="0" fontId="31" fillId="4" borderId="10" xfId="0" applyFont="1" applyFill="1" applyBorder="1" applyAlignment="1" applyProtection="1">
      <alignment horizontal="center" vertical="center"/>
      <protection hidden="1"/>
    </xf>
    <xf numFmtId="0" fontId="31" fillId="4" borderId="0" xfId="0" applyFont="1" applyFill="1" applyAlignment="1" applyProtection="1">
      <alignment horizontal="center" vertical="center"/>
      <protection hidden="1"/>
    </xf>
    <xf numFmtId="0" fontId="31" fillId="4" borderId="11" xfId="0" applyFont="1" applyFill="1" applyBorder="1" applyAlignment="1" applyProtection="1">
      <alignment horizontal="center" vertical="center"/>
      <protection hidden="1"/>
    </xf>
    <xf numFmtId="0" fontId="31" fillId="4" borderId="12" xfId="0" applyFont="1" applyFill="1" applyBorder="1" applyAlignment="1" applyProtection="1">
      <alignment horizontal="center" vertical="center"/>
      <protection hidden="1"/>
    </xf>
    <xf numFmtId="0" fontId="31" fillId="4" borderId="13" xfId="0" applyFont="1" applyFill="1" applyBorder="1" applyAlignment="1" applyProtection="1">
      <alignment horizontal="center" vertical="center"/>
      <protection hidden="1"/>
    </xf>
    <xf numFmtId="0" fontId="31" fillId="4" borderId="14" xfId="0" applyFont="1" applyFill="1" applyBorder="1" applyAlignment="1" applyProtection="1">
      <alignment horizontal="center" vertical="center"/>
      <protection hidden="1"/>
    </xf>
    <xf numFmtId="0" fontId="54" fillId="4" borderId="0" xfId="0" applyFont="1" applyFill="1" applyAlignment="1" applyProtection="1">
      <alignment horizontal="center" vertical="center"/>
      <protection hidden="1"/>
    </xf>
    <xf numFmtId="0" fontId="54" fillId="4" borderId="0" xfId="0" applyFont="1" applyFill="1" applyAlignment="1" applyProtection="1">
      <alignment horizontal="center"/>
      <protection hidden="1"/>
    </xf>
    <xf numFmtId="0" fontId="26" fillId="29" borderId="7" xfId="0" applyFont="1" applyFill="1" applyBorder="1" applyAlignment="1" applyProtection="1">
      <alignment horizontal="center" vertical="center"/>
      <protection hidden="1"/>
    </xf>
    <xf numFmtId="0" fontId="26" fillId="29" borderId="8" xfId="0" applyFont="1" applyFill="1" applyBorder="1" applyAlignment="1" applyProtection="1">
      <alignment horizontal="center" vertical="center"/>
      <protection hidden="1"/>
    </xf>
    <xf numFmtId="0" fontId="26" fillId="29" borderId="9" xfId="0" applyFont="1" applyFill="1" applyBorder="1" applyAlignment="1" applyProtection="1">
      <alignment horizontal="center" vertical="center"/>
      <protection hidden="1"/>
    </xf>
    <xf numFmtId="0" fontId="26" fillId="29" borderId="12" xfId="0" applyFont="1" applyFill="1" applyBorder="1" applyAlignment="1" applyProtection="1">
      <alignment horizontal="center" vertical="center"/>
      <protection hidden="1"/>
    </xf>
    <xf numFmtId="0" fontId="26" fillId="29" borderId="13" xfId="0" applyFont="1" applyFill="1" applyBorder="1" applyAlignment="1" applyProtection="1">
      <alignment horizontal="center" vertical="center"/>
      <protection hidden="1"/>
    </xf>
    <xf numFmtId="0" fontId="26" fillId="29" borderId="14" xfId="0" applyFont="1" applyFill="1" applyBorder="1" applyAlignment="1" applyProtection="1">
      <alignment horizontal="center" vertical="center"/>
      <protection hidden="1"/>
    </xf>
    <xf numFmtId="0" fontId="55" fillId="29" borderId="7" xfId="0" applyFont="1" applyFill="1" applyBorder="1" applyAlignment="1" applyProtection="1">
      <alignment horizontal="center" vertical="center"/>
      <protection hidden="1"/>
    </xf>
    <xf numFmtId="0" fontId="55" fillId="29" borderId="8" xfId="0" applyFont="1" applyFill="1" applyBorder="1" applyAlignment="1" applyProtection="1">
      <alignment horizontal="center" vertical="center"/>
      <protection hidden="1"/>
    </xf>
    <xf numFmtId="0" fontId="55" fillId="29" borderId="9" xfId="0" applyFont="1" applyFill="1" applyBorder="1" applyAlignment="1" applyProtection="1">
      <alignment horizontal="center" vertical="center"/>
      <protection hidden="1"/>
    </xf>
    <xf numFmtId="0" fontId="55" fillId="29" borderId="12" xfId="0" applyFont="1" applyFill="1" applyBorder="1" applyAlignment="1" applyProtection="1">
      <alignment horizontal="center" vertical="center"/>
      <protection hidden="1"/>
    </xf>
    <xf numFmtId="0" fontId="55" fillId="29" borderId="13" xfId="0" applyFont="1" applyFill="1" applyBorder="1" applyAlignment="1" applyProtection="1">
      <alignment horizontal="center" vertical="center"/>
      <protection hidden="1"/>
    </xf>
    <xf numFmtId="0" fontId="55" fillId="29" borderId="14" xfId="0" applyFont="1" applyFill="1" applyBorder="1" applyAlignment="1" applyProtection="1">
      <alignment horizontal="center" vertical="center"/>
      <protection hidden="1"/>
    </xf>
    <xf numFmtId="0" fontId="55" fillId="29" borderId="7" xfId="0" applyFont="1" applyFill="1" applyBorder="1" applyAlignment="1" applyProtection="1">
      <alignment horizontal="center" vertical="center" wrapText="1"/>
      <protection hidden="1"/>
    </xf>
    <xf numFmtId="0" fontId="33" fillId="4" borderId="10" xfId="0" applyFont="1" applyFill="1" applyBorder="1" applyAlignment="1" applyProtection="1">
      <alignment horizontal="center"/>
      <protection hidden="1"/>
    </xf>
    <xf numFmtId="0" fontId="33" fillId="4" borderId="0" xfId="0" applyFont="1" applyFill="1" applyAlignment="1" applyProtection="1">
      <alignment horizontal="center"/>
      <protection hidden="1"/>
    </xf>
    <xf numFmtId="0" fontId="33" fillId="4" borderId="11" xfId="0" applyFont="1" applyFill="1" applyBorder="1" applyAlignment="1" applyProtection="1">
      <alignment horizontal="center"/>
      <protection hidden="1"/>
    </xf>
    <xf numFmtId="0" fontId="52" fillId="4" borderId="176" xfId="0" applyFont="1" applyFill="1" applyBorder="1" applyAlignment="1" applyProtection="1">
      <alignment horizontal="center" vertical="center"/>
      <protection hidden="1"/>
    </xf>
    <xf numFmtId="0" fontId="52" fillId="4" borderId="176" xfId="0" applyFont="1" applyFill="1" applyBorder="1" applyAlignment="1" applyProtection="1">
      <alignment horizontal="center"/>
      <protection hidden="1"/>
    </xf>
    <xf numFmtId="0" fontId="52" fillId="4" borderId="175" xfId="0" applyFont="1" applyFill="1" applyBorder="1" applyAlignment="1" applyProtection="1">
      <alignment horizontal="center" vertical="center"/>
      <protection hidden="1"/>
    </xf>
    <xf numFmtId="0" fontId="52" fillId="4" borderId="173" xfId="0" applyFont="1" applyFill="1" applyBorder="1" applyAlignment="1" applyProtection="1">
      <alignment horizontal="center" vertical="center"/>
      <protection hidden="1"/>
    </xf>
    <xf numFmtId="0" fontId="18" fillId="4" borderId="128" xfId="0" applyFont="1" applyFill="1" applyBorder="1" applyAlignment="1" applyProtection="1">
      <alignment horizontal="center" vertical="center"/>
      <protection hidden="1"/>
    </xf>
    <xf numFmtId="0" fontId="18" fillId="4" borderId="129" xfId="0" applyFont="1" applyFill="1" applyBorder="1" applyAlignment="1" applyProtection="1">
      <alignment horizontal="center" vertical="center"/>
      <protection hidden="1"/>
    </xf>
    <xf numFmtId="0" fontId="18" fillId="4" borderId="130" xfId="0" applyFont="1" applyFill="1" applyBorder="1" applyAlignment="1" applyProtection="1">
      <alignment horizontal="center" vertical="center"/>
      <protection hidden="1"/>
    </xf>
    <xf numFmtId="49" fontId="17" fillId="4" borderId="64" xfId="0" applyNumberFormat="1" applyFont="1" applyFill="1" applyBorder="1" applyAlignment="1" applyProtection="1">
      <alignment horizontal="center" vertical="center"/>
      <protection locked="0" hidden="1"/>
    </xf>
    <xf numFmtId="49" fontId="17" fillId="4" borderId="79" xfId="0" applyNumberFormat="1" applyFont="1" applyFill="1" applyBorder="1" applyAlignment="1" applyProtection="1">
      <alignment horizontal="center" vertical="center"/>
      <protection locked="0" hidden="1"/>
    </xf>
    <xf numFmtId="49" fontId="47" fillId="3" borderId="131" xfId="0" applyNumberFormat="1" applyFont="1" applyFill="1" applyBorder="1" applyAlignment="1" applyProtection="1">
      <alignment horizontal="center" vertical="center"/>
      <protection locked="0" hidden="1"/>
    </xf>
    <xf numFmtId="49" fontId="47" fillId="3" borderId="120" xfId="0" applyNumberFormat="1" applyFont="1" applyFill="1" applyBorder="1" applyAlignment="1" applyProtection="1">
      <alignment horizontal="center" vertical="center"/>
      <protection locked="0" hidden="1"/>
    </xf>
    <xf numFmtId="49" fontId="47" fillId="3" borderId="132" xfId="0" applyNumberFormat="1" applyFont="1" applyFill="1" applyBorder="1" applyAlignment="1" applyProtection="1">
      <alignment horizontal="center" vertical="center"/>
      <protection locked="0" hidden="1"/>
    </xf>
    <xf numFmtId="49" fontId="47" fillId="3" borderId="128" xfId="0" applyNumberFormat="1" applyFont="1" applyFill="1" applyBorder="1" applyAlignment="1" applyProtection="1">
      <alignment horizontal="center" vertical="center"/>
      <protection locked="0" hidden="1"/>
    </xf>
    <xf numFmtId="49" fontId="47" fillId="3" borderId="129" xfId="0" applyNumberFormat="1" applyFont="1" applyFill="1" applyBorder="1" applyAlignment="1" applyProtection="1">
      <alignment horizontal="center" vertical="center"/>
      <protection locked="0" hidden="1"/>
    </xf>
    <xf numFmtId="49" fontId="47" fillId="3" borderId="130" xfId="0" applyNumberFormat="1" applyFont="1" applyFill="1" applyBorder="1" applyAlignment="1" applyProtection="1">
      <alignment horizontal="center" vertical="center"/>
      <protection locked="0" hidden="1"/>
    </xf>
    <xf numFmtId="0" fontId="17" fillId="4" borderId="120" xfId="0" applyFont="1" applyFill="1" applyBorder="1" applyAlignment="1" applyProtection="1">
      <alignment horizontal="center" vertical="center"/>
      <protection hidden="1"/>
    </xf>
    <xf numFmtId="0" fontId="17" fillId="4" borderId="13" xfId="0" applyFont="1" applyFill="1" applyBorder="1" applyAlignment="1" applyProtection="1">
      <alignment horizontal="center" vertical="center"/>
      <protection hidden="1"/>
    </xf>
    <xf numFmtId="0" fontId="17" fillId="3" borderId="26" xfId="0" applyFont="1" applyFill="1" applyBorder="1" applyAlignment="1" applyProtection="1">
      <alignment horizontal="right" vertical="center"/>
      <protection hidden="1"/>
    </xf>
    <xf numFmtId="0" fontId="17" fillId="3" borderId="29" xfId="0" applyFont="1" applyFill="1" applyBorder="1" applyAlignment="1" applyProtection="1">
      <alignment horizontal="right" vertical="center"/>
      <protection hidden="1"/>
    </xf>
    <xf numFmtId="0" fontId="17" fillId="3" borderId="62" xfId="0" applyFont="1" applyFill="1" applyBorder="1" applyAlignment="1" applyProtection="1">
      <alignment horizontal="right" vertical="center"/>
      <protection hidden="1"/>
    </xf>
    <xf numFmtId="49" fontId="17" fillId="4" borderId="35" xfId="0" applyNumberFormat="1" applyFont="1" applyFill="1" applyBorder="1" applyAlignment="1" applyProtection="1">
      <alignment horizontal="center" vertical="center"/>
      <protection locked="0" hidden="1"/>
    </xf>
    <xf numFmtId="49" fontId="17" fillId="4" borderId="36" xfId="0" applyNumberFormat="1" applyFont="1" applyFill="1" applyBorder="1" applyAlignment="1" applyProtection="1">
      <alignment horizontal="center" vertical="center"/>
      <protection locked="0" hidden="1"/>
    </xf>
    <xf numFmtId="0" fontId="17" fillId="3" borderId="74" xfId="0" applyFont="1" applyFill="1" applyBorder="1" applyAlignment="1" applyProtection="1">
      <alignment horizontal="center" vertical="center"/>
      <protection hidden="1"/>
    </xf>
    <xf numFmtId="0" fontId="17" fillId="3" borderId="63" xfId="0" applyFont="1" applyFill="1" applyBorder="1" applyAlignment="1" applyProtection="1">
      <alignment horizontal="center" vertical="center"/>
      <protection hidden="1"/>
    </xf>
    <xf numFmtId="0" fontId="17" fillId="3" borderId="66" xfId="0" applyFont="1" applyFill="1" applyBorder="1" applyAlignment="1" applyProtection="1">
      <alignment horizontal="center" vertical="center"/>
      <protection hidden="1"/>
    </xf>
    <xf numFmtId="49" fontId="54" fillId="0" borderId="35" xfId="0" applyNumberFormat="1" applyFont="1" applyBorder="1" applyAlignment="1" applyProtection="1">
      <alignment horizontal="center" vertical="center"/>
      <protection locked="0" hidden="1"/>
    </xf>
    <xf numFmtId="49" fontId="54" fillId="0" borderId="36" xfId="0" applyNumberFormat="1" applyFont="1" applyBorder="1" applyAlignment="1" applyProtection="1">
      <alignment horizontal="center" vertical="center"/>
      <protection locked="0" hidden="1"/>
    </xf>
    <xf numFmtId="0" fontId="17" fillId="8" borderId="26" xfId="0" applyFont="1" applyFill="1" applyBorder="1" applyAlignment="1" applyProtection="1">
      <alignment horizontal="right" vertical="center"/>
      <protection hidden="1"/>
    </xf>
    <xf numFmtId="0" fontId="17" fillId="8" borderId="29" xfId="0" applyFont="1" applyFill="1" applyBorder="1" applyAlignment="1" applyProtection="1">
      <alignment horizontal="right" vertical="center"/>
      <protection hidden="1"/>
    </xf>
    <xf numFmtId="0" fontId="17" fillId="8" borderId="62" xfId="0" applyFont="1" applyFill="1" applyBorder="1" applyAlignment="1" applyProtection="1">
      <alignment horizontal="right" vertical="center"/>
      <protection hidden="1"/>
    </xf>
    <xf numFmtId="49" fontId="17" fillId="4" borderId="35" xfId="0" applyNumberFormat="1" applyFont="1" applyFill="1" applyBorder="1" applyAlignment="1" applyProtection="1">
      <alignment horizontal="center" vertical="center"/>
      <protection hidden="1"/>
    </xf>
    <xf numFmtId="49" fontId="17" fillId="4" borderId="36" xfId="0" applyNumberFormat="1" applyFont="1" applyFill="1" applyBorder="1" applyAlignment="1" applyProtection="1">
      <alignment horizontal="center" vertical="center"/>
      <protection hidden="1"/>
    </xf>
    <xf numFmtId="0" fontId="17" fillId="4" borderId="14" xfId="0" applyFont="1" applyFill="1" applyBorder="1" applyAlignment="1" applyProtection="1">
      <alignment horizontal="center" vertical="center"/>
      <protection hidden="1"/>
    </xf>
    <xf numFmtId="0" fontId="17" fillId="3" borderId="64" xfId="0" applyFont="1" applyFill="1" applyBorder="1" applyAlignment="1" applyProtection="1">
      <alignment horizontal="right" vertical="center"/>
      <protection hidden="1"/>
    </xf>
    <xf numFmtId="0" fontId="17" fillId="3" borderId="79" xfId="0" applyFont="1" applyFill="1" applyBorder="1" applyAlignment="1" applyProtection="1">
      <alignment horizontal="right" vertical="center"/>
      <protection hidden="1"/>
    </xf>
    <xf numFmtId="0" fontId="17" fillId="4" borderId="30" xfId="0" applyFont="1" applyFill="1" applyBorder="1" applyAlignment="1" applyProtection="1">
      <alignment horizontal="center" vertical="center"/>
      <protection hidden="1"/>
    </xf>
    <xf numFmtId="0" fontId="17" fillId="4" borderId="15" xfId="0" applyFont="1" applyFill="1" applyBorder="1" applyAlignment="1" applyProtection="1">
      <alignment horizontal="center" vertical="center"/>
      <protection hidden="1"/>
    </xf>
    <xf numFmtId="0" fontId="17" fillId="8" borderId="74" xfId="0" applyFont="1" applyFill="1" applyBorder="1" applyAlignment="1" applyProtection="1">
      <alignment horizontal="right" vertical="center"/>
      <protection hidden="1"/>
    </xf>
    <xf numFmtId="0" fontId="17" fillId="8" borderId="63" xfId="0" applyFont="1" applyFill="1" applyBorder="1" applyAlignment="1" applyProtection="1">
      <alignment horizontal="right" vertical="center"/>
      <protection hidden="1"/>
    </xf>
    <xf numFmtId="0" fontId="17" fillId="8" borderId="66" xfId="0" applyFont="1" applyFill="1" applyBorder="1" applyAlignment="1" applyProtection="1">
      <alignment horizontal="right" vertical="center"/>
      <protection hidden="1"/>
    </xf>
    <xf numFmtId="0" fontId="17" fillId="60" borderId="35" xfId="0" applyFont="1" applyFill="1" applyBorder="1" applyAlignment="1" applyProtection="1">
      <alignment horizontal="center" vertical="center"/>
      <protection hidden="1"/>
    </xf>
    <xf numFmtId="0" fontId="17" fillId="60" borderId="36" xfId="0" applyFont="1" applyFill="1" applyBorder="1" applyAlignment="1" applyProtection="1">
      <alignment horizontal="center" vertical="center"/>
      <protection hidden="1"/>
    </xf>
    <xf numFmtId="49" fontId="17" fillId="4" borderId="7" xfId="0" applyNumberFormat="1" applyFont="1" applyFill="1" applyBorder="1" applyAlignment="1" applyProtection="1">
      <alignment horizontal="center" vertical="center"/>
      <protection locked="0" hidden="1"/>
    </xf>
    <xf numFmtId="49" fontId="17" fillId="4" borderId="28" xfId="0" applyNumberFormat="1" applyFont="1" applyFill="1" applyBorder="1" applyAlignment="1" applyProtection="1">
      <alignment horizontal="center" vertical="center"/>
      <protection locked="0" hidden="1"/>
    </xf>
    <xf numFmtId="49" fontId="17" fillId="4" borderId="162" xfId="0" applyNumberFormat="1" applyFont="1" applyFill="1" applyBorder="1" applyAlignment="1" applyProtection="1">
      <alignment horizontal="center" vertical="center"/>
      <protection locked="0" hidden="1"/>
    </xf>
    <xf numFmtId="49" fontId="17" fillId="4" borderId="23" xfId="0" applyNumberFormat="1" applyFont="1" applyFill="1" applyBorder="1" applyAlignment="1" applyProtection="1">
      <alignment horizontal="center" vertical="center"/>
      <protection locked="0" hidden="1"/>
    </xf>
    <xf numFmtId="0" fontId="17" fillId="6" borderId="7" xfId="0" applyFont="1" applyFill="1" applyBorder="1" applyAlignment="1" applyProtection="1">
      <alignment horizontal="center" vertical="center"/>
      <protection hidden="1"/>
    </xf>
    <xf numFmtId="0" fontId="17" fillId="6" borderId="8" xfId="0" applyFont="1" applyFill="1" applyBorder="1" applyAlignment="1" applyProtection="1">
      <alignment horizontal="center" vertical="center"/>
      <protection hidden="1"/>
    </xf>
    <xf numFmtId="0" fontId="17" fillId="6" borderId="9" xfId="0" applyFont="1" applyFill="1" applyBorder="1" applyAlignment="1" applyProtection="1">
      <alignment horizontal="center" vertical="center"/>
      <protection hidden="1"/>
    </xf>
    <xf numFmtId="0" fontId="17" fillId="6" borderId="12" xfId="0" applyFont="1" applyFill="1" applyBorder="1" applyAlignment="1" applyProtection="1">
      <alignment horizontal="center" vertical="center"/>
      <protection hidden="1"/>
    </xf>
    <xf numFmtId="0" fontId="17" fillId="6" borderId="13" xfId="0" applyFont="1" applyFill="1" applyBorder="1" applyAlignment="1" applyProtection="1">
      <alignment horizontal="center" vertical="center"/>
      <protection hidden="1"/>
    </xf>
    <xf numFmtId="0" fontId="17" fillId="6" borderId="14" xfId="0" applyFont="1" applyFill="1" applyBorder="1" applyAlignment="1" applyProtection="1">
      <alignment horizontal="center" vertical="center"/>
      <protection hidden="1"/>
    </xf>
    <xf numFmtId="0" fontId="17" fillId="6" borderId="162" xfId="0" applyFont="1" applyFill="1" applyBorder="1" applyAlignment="1" applyProtection="1">
      <alignment horizontal="center" vertical="center"/>
      <protection hidden="1"/>
    </xf>
    <xf numFmtId="0" fontId="17" fillId="6" borderId="22" xfId="0" applyFont="1" applyFill="1" applyBorder="1" applyAlignment="1" applyProtection="1">
      <alignment horizontal="center" vertical="center"/>
      <protection hidden="1"/>
    </xf>
    <xf numFmtId="0" fontId="17" fillId="6" borderId="163" xfId="0" applyFont="1" applyFill="1" applyBorder="1" applyAlignment="1" applyProtection="1">
      <alignment horizontal="center" vertical="center"/>
      <protection hidden="1"/>
    </xf>
    <xf numFmtId="49" fontId="47" fillId="4" borderId="34" xfId="0" applyNumberFormat="1" applyFont="1" applyFill="1" applyBorder="1" applyAlignment="1" applyProtection="1">
      <alignment horizontal="center" vertical="center"/>
      <protection locked="0" hidden="1"/>
    </xf>
    <xf numFmtId="49" fontId="47" fillId="4" borderId="35" xfId="0" applyNumberFormat="1" applyFont="1" applyFill="1" applyBorder="1" applyAlignment="1" applyProtection="1">
      <alignment horizontal="center" vertical="center"/>
      <protection locked="0" hidden="1"/>
    </xf>
    <xf numFmtId="49" fontId="47" fillId="4" borderId="36" xfId="0" applyNumberFormat="1" applyFont="1" applyFill="1" applyBorder="1" applyAlignment="1" applyProtection="1">
      <alignment horizontal="center" vertical="center"/>
      <protection locked="0" hidden="1"/>
    </xf>
    <xf numFmtId="0" fontId="53" fillId="71" borderId="26" xfId="0" applyFont="1" applyFill="1" applyBorder="1" applyAlignment="1" applyProtection="1">
      <alignment horizontal="center" vertical="center"/>
      <protection hidden="1"/>
    </xf>
    <xf numFmtId="0" fontId="53" fillId="71" borderId="29" xfId="0" applyFont="1" applyFill="1" applyBorder="1" applyAlignment="1" applyProtection="1">
      <alignment horizontal="center" vertical="center"/>
      <protection hidden="1"/>
    </xf>
    <xf numFmtId="0" fontId="53" fillId="71" borderId="30" xfId="0" applyFont="1" applyFill="1" applyBorder="1" applyAlignment="1" applyProtection="1">
      <alignment horizontal="center" vertical="center"/>
      <protection hidden="1"/>
    </xf>
    <xf numFmtId="0" fontId="62" fillId="3" borderId="173" xfId="0" applyFont="1" applyFill="1" applyBorder="1" applyAlignment="1" applyProtection="1">
      <alignment horizontal="center" vertical="center"/>
      <protection hidden="1"/>
    </xf>
    <xf numFmtId="0" fontId="62" fillId="3" borderId="0" xfId="0" applyFont="1" applyFill="1" applyAlignment="1" applyProtection="1">
      <alignment horizontal="center" vertical="center"/>
      <protection hidden="1"/>
    </xf>
    <xf numFmtId="0" fontId="62" fillId="3" borderId="174" xfId="0" applyFont="1" applyFill="1" applyBorder="1" applyAlignment="1" applyProtection="1">
      <alignment horizontal="center" vertical="center"/>
      <protection hidden="1"/>
    </xf>
    <xf numFmtId="0" fontId="17" fillId="6" borderId="7" xfId="0" applyFont="1" applyFill="1" applyBorder="1" applyAlignment="1" applyProtection="1">
      <alignment horizontal="center" vertical="center" wrapText="1"/>
      <protection hidden="1"/>
    </xf>
    <xf numFmtId="0" fontId="17" fillId="6" borderId="8" xfId="0" applyFont="1" applyFill="1" applyBorder="1" applyAlignment="1" applyProtection="1">
      <alignment horizontal="center" vertical="center" wrapText="1"/>
      <protection hidden="1"/>
    </xf>
    <xf numFmtId="0" fontId="17" fillId="6" borderId="9" xfId="0" applyFont="1" applyFill="1" applyBorder="1" applyAlignment="1" applyProtection="1">
      <alignment horizontal="center" vertical="center" wrapText="1"/>
      <protection hidden="1"/>
    </xf>
    <xf numFmtId="0" fontId="17" fillId="6" borderId="162" xfId="0" applyFont="1" applyFill="1" applyBorder="1" applyAlignment="1" applyProtection="1">
      <alignment horizontal="center" vertical="center" wrapText="1"/>
      <protection hidden="1"/>
    </xf>
    <xf numFmtId="0" fontId="17" fillId="6" borderId="22" xfId="0" applyFont="1" applyFill="1" applyBorder="1" applyAlignment="1" applyProtection="1">
      <alignment horizontal="center" vertical="center" wrapText="1"/>
      <protection hidden="1"/>
    </xf>
    <xf numFmtId="0" fontId="17" fillId="6" borderId="163" xfId="0" applyFont="1" applyFill="1" applyBorder="1" applyAlignment="1" applyProtection="1">
      <alignment horizontal="center" vertical="center" wrapText="1"/>
      <protection hidden="1"/>
    </xf>
    <xf numFmtId="49" fontId="17" fillId="0" borderId="7" xfId="0" applyNumberFormat="1" applyFont="1" applyBorder="1" applyAlignment="1" applyProtection="1">
      <alignment horizontal="center" vertical="center" wrapText="1"/>
      <protection locked="0" hidden="1"/>
    </xf>
    <xf numFmtId="49" fontId="17" fillId="0" borderId="28" xfId="0" applyNumberFormat="1" applyFont="1" applyBorder="1" applyAlignment="1" applyProtection="1">
      <alignment horizontal="center" vertical="center" wrapText="1"/>
      <protection locked="0" hidden="1"/>
    </xf>
    <xf numFmtId="49" fontId="17" fillId="0" borderId="162" xfId="0" applyNumberFormat="1" applyFont="1" applyBorder="1" applyAlignment="1" applyProtection="1">
      <alignment horizontal="center" vertical="center" wrapText="1"/>
      <protection locked="0" hidden="1"/>
    </xf>
    <xf numFmtId="49" fontId="17" fillId="0" borderId="23" xfId="0" applyNumberFormat="1" applyFont="1" applyBorder="1" applyAlignment="1" applyProtection="1">
      <alignment horizontal="center" vertical="center" wrapText="1"/>
      <protection locked="0" hidden="1"/>
    </xf>
    <xf numFmtId="0" fontId="19" fillId="0" borderId="0" xfId="0" applyFont="1" applyAlignment="1" applyProtection="1">
      <alignment horizontal="center"/>
      <protection hidden="1"/>
    </xf>
    <xf numFmtId="49" fontId="47" fillId="4" borderId="131" xfId="0" applyNumberFormat="1" applyFont="1" applyFill="1" applyBorder="1" applyAlignment="1" applyProtection="1">
      <alignment horizontal="center" vertical="center"/>
      <protection locked="0" hidden="1"/>
    </xf>
    <xf numFmtId="49" fontId="47" fillId="4" borderId="120" xfId="0" applyNumberFormat="1" applyFont="1" applyFill="1" applyBorder="1" applyAlignment="1" applyProtection="1">
      <alignment horizontal="center" vertical="center"/>
      <protection locked="0" hidden="1"/>
    </xf>
    <xf numFmtId="49" fontId="47" fillId="4" borderId="132" xfId="0" applyNumberFormat="1" applyFont="1" applyFill="1" applyBorder="1" applyAlignment="1" applyProtection="1">
      <alignment horizontal="center" vertical="center"/>
      <protection locked="0" hidden="1"/>
    </xf>
    <xf numFmtId="49" fontId="47" fillId="4" borderId="128" xfId="0" applyNumberFormat="1" applyFont="1" applyFill="1" applyBorder="1" applyAlignment="1" applyProtection="1">
      <alignment horizontal="center" vertical="center"/>
      <protection locked="0" hidden="1"/>
    </xf>
    <xf numFmtId="49" fontId="47" fillId="4" borderId="129" xfId="0" applyNumberFormat="1" applyFont="1" applyFill="1" applyBorder="1" applyAlignment="1" applyProtection="1">
      <alignment horizontal="center" vertical="center"/>
      <protection locked="0" hidden="1"/>
    </xf>
    <xf numFmtId="49" fontId="47" fillId="4" borderId="130" xfId="0" applyNumberFormat="1" applyFont="1" applyFill="1" applyBorder="1" applyAlignment="1" applyProtection="1">
      <alignment horizontal="center" vertical="center"/>
      <protection locked="0" hidden="1"/>
    </xf>
    <xf numFmtId="0" fontId="16" fillId="16" borderId="74" xfId="0" applyFont="1" applyFill="1" applyBorder="1" applyAlignment="1" applyProtection="1">
      <alignment horizontal="center" vertical="center"/>
      <protection hidden="1"/>
    </xf>
    <xf numFmtId="0" fontId="16" fillId="16" borderId="63" xfId="0" applyFont="1" applyFill="1" applyBorder="1" applyAlignment="1" applyProtection="1">
      <alignment horizontal="center" vertical="center"/>
      <protection hidden="1"/>
    </xf>
    <xf numFmtId="0" fontId="16" fillId="16" borderId="66" xfId="0" applyFont="1" applyFill="1" applyBorder="1" applyAlignment="1" applyProtection="1">
      <alignment horizontal="center" vertical="center"/>
      <protection hidden="1"/>
    </xf>
    <xf numFmtId="0" fontId="16" fillId="6" borderId="64" xfId="0" applyFont="1" applyFill="1" applyBorder="1" applyAlignment="1" applyProtection="1">
      <alignment horizontal="center" vertical="center"/>
      <protection hidden="1"/>
    </xf>
    <xf numFmtId="0" fontId="17" fillId="3" borderId="128" xfId="0" applyFont="1" applyFill="1" applyBorder="1" applyAlignment="1" applyProtection="1">
      <alignment horizontal="center" vertical="center"/>
      <protection hidden="1"/>
    </xf>
    <xf numFmtId="0" fontId="17" fillId="3" borderId="129" xfId="0" applyFont="1" applyFill="1" applyBorder="1" applyAlignment="1" applyProtection="1">
      <alignment horizontal="center" vertical="center"/>
      <protection hidden="1"/>
    </xf>
    <xf numFmtId="0" fontId="17" fillId="3" borderId="130" xfId="0" applyFont="1" applyFill="1" applyBorder="1" applyAlignment="1" applyProtection="1">
      <alignment horizontal="center" vertical="center"/>
      <protection hidden="1"/>
    </xf>
    <xf numFmtId="0" fontId="17" fillId="6" borderId="37" xfId="0" applyFont="1" applyFill="1" applyBorder="1" applyAlignment="1" applyProtection="1">
      <alignment horizontal="center" vertical="center"/>
      <protection hidden="1"/>
    </xf>
    <xf numFmtId="0" fontId="17" fillId="6" borderId="25" xfId="0" applyFont="1" applyFill="1" applyBorder="1" applyAlignment="1" applyProtection="1">
      <alignment horizontal="center" vertical="center"/>
      <protection hidden="1"/>
    </xf>
    <xf numFmtId="49" fontId="17" fillId="0" borderId="37" xfId="0" applyNumberFormat="1" applyFont="1" applyBorder="1" applyAlignment="1" applyProtection="1">
      <alignment horizontal="center" vertical="center"/>
      <protection locked="0" hidden="1"/>
    </xf>
    <xf numFmtId="49" fontId="17" fillId="0" borderId="78" xfId="0" applyNumberFormat="1" applyFont="1" applyBorder="1" applyAlignment="1" applyProtection="1">
      <alignment horizontal="center" vertical="center"/>
      <protection locked="0" hidden="1"/>
    </xf>
    <xf numFmtId="49" fontId="17" fillId="0" borderId="25" xfId="0" applyNumberFormat="1" applyFont="1" applyBorder="1" applyAlignment="1" applyProtection="1">
      <alignment horizontal="center" vertical="center"/>
      <protection locked="0" hidden="1"/>
    </xf>
    <xf numFmtId="49" fontId="17" fillId="0" borderId="76" xfId="0" applyNumberFormat="1" applyFont="1" applyBorder="1" applyAlignment="1" applyProtection="1">
      <alignment horizontal="center" vertical="center"/>
      <protection locked="0" hidden="1"/>
    </xf>
    <xf numFmtId="49" fontId="17" fillId="4" borderId="12" xfId="0" applyNumberFormat="1" applyFont="1" applyFill="1" applyBorder="1" applyAlignment="1" applyProtection="1">
      <alignment horizontal="center" vertical="center"/>
      <protection locked="0" hidden="1"/>
    </xf>
    <xf numFmtId="49" fontId="17" fillId="4" borderId="61" xfId="0" applyNumberFormat="1" applyFont="1" applyFill="1" applyBorder="1" applyAlignment="1" applyProtection="1">
      <alignment horizontal="center" vertical="center"/>
      <protection locked="0" hidden="1"/>
    </xf>
    <xf numFmtId="49" fontId="60" fillId="3" borderId="173" xfId="0" applyNumberFormat="1" applyFont="1" applyFill="1" applyBorder="1" applyAlignment="1" applyProtection="1">
      <alignment horizontal="center" vertical="center" wrapText="1"/>
      <protection locked="0" hidden="1"/>
    </xf>
    <xf numFmtId="49" fontId="60" fillId="3" borderId="0" xfId="0" applyNumberFormat="1" applyFont="1" applyFill="1" applyAlignment="1" applyProtection="1">
      <alignment horizontal="center" vertical="center" wrapText="1"/>
      <protection locked="0" hidden="1"/>
    </xf>
    <xf numFmtId="49" fontId="60" fillId="3" borderId="174" xfId="0" applyNumberFormat="1" applyFont="1" applyFill="1" applyBorder="1" applyAlignment="1" applyProtection="1">
      <alignment horizontal="center" vertical="center" wrapText="1"/>
      <protection locked="0" hidden="1"/>
    </xf>
    <xf numFmtId="49" fontId="60" fillId="3" borderId="128" xfId="0" applyNumberFormat="1" applyFont="1" applyFill="1" applyBorder="1" applyAlignment="1" applyProtection="1">
      <alignment horizontal="center" vertical="center" wrapText="1"/>
      <protection locked="0" hidden="1"/>
    </xf>
    <xf numFmtId="49" fontId="60" fillId="3" borderId="129" xfId="0" applyNumberFormat="1" applyFont="1" applyFill="1" applyBorder="1" applyAlignment="1" applyProtection="1">
      <alignment horizontal="center" vertical="center" wrapText="1"/>
      <protection locked="0" hidden="1"/>
    </xf>
    <xf numFmtId="49" fontId="60" fillId="3" borderId="130" xfId="0" applyNumberFormat="1" applyFont="1" applyFill="1" applyBorder="1" applyAlignment="1" applyProtection="1">
      <alignment horizontal="center" vertical="center" wrapText="1"/>
      <protection locked="0" hidden="1"/>
    </xf>
    <xf numFmtId="0" fontId="17" fillId="6" borderId="12" xfId="0" applyFont="1" applyFill="1" applyBorder="1" applyAlignment="1" applyProtection="1">
      <alignment horizontal="center" vertical="center" wrapText="1"/>
      <protection hidden="1"/>
    </xf>
    <xf numFmtId="0" fontId="17" fillId="6" borderId="13" xfId="0" applyFont="1" applyFill="1" applyBorder="1" applyAlignment="1" applyProtection="1">
      <alignment horizontal="center" vertical="center" wrapText="1"/>
      <protection hidden="1"/>
    </xf>
    <xf numFmtId="0" fontId="17" fillId="6" borderId="14" xfId="0" applyFont="1" applyFill="1" applyBorder="1" applyAlignment="1" applyProtection="1">
      <alignment horizontal="center" vertical="center" wrapText="1"/>
      <protection hidden="1"/>
    </xf>
    <xf numFmtId="49" fontId="17" fillId="4" borderId="7" xfId="0" applyNumberFormat="1" applyFont="1" applyFill="1" applyBorder="1" applyAlignment="1" applyProtection="1">
      <alignment horizontal="center" vertical="center" wrapText="1"/>
      <protection locked="0" hidden="1"/>
    </xf>
    <xf numFmtId="49" fontId="17" fillId="4" borderId="28" xfId="0" applyNumberFormat="1" applyFont="1" applyFill="1" applyBorder="1" applyAlignment="1" applyProtection="1">
      <alignment horizontal="center" vertical="center" wrapText="1"/>
      <protection locked="0" hidden="1"/>
    </xf>
    <xf numFmtId="49" fontId="17" fillId="4" borderId="12" xfId="0" applyNumberFormat="1" applyFont="1" applyFill="1" applyBorder="1" applyAlignment="1" applyProtection="1">
      <alignment horizontal="center" vertical="center" wrapText="1"/>
      <protection locked="0" hidden="1"/>
    </xf>
    <xf numFmtId="49" fontId="17" fillId="4" borderId="61" xfId="0" applyNumberFormat="1" applyFont="1" applyFill="1" applyBorder="1" applyAlignment="1" applyProtection="1">
      <alignment horizontal="center" vertical="center" wrapText="1"/>
      <protection locked="0" hidden="1"/>
    </xf>
    <xf numFmtId="49" fontId="47" fillId="3" borderId="34" xfId="0" applyNumberFormat="1" applyFont="1" applyFill="1" applyBorder="1" applyAlignment="1" applyProtection="1">
      <alignment horizontal="center" vertical="center"/>
      <protection locked="0" hidden="1"/>
    </xf>
    <xf numFmtId="49" fontId="47" fillId="3" borderId="35" xfId="0" applyNumberFormat="1" applyFont="1" applyFill="1" applyBorder="1" applyAlignment="1" applyProtection="1">
      <alignment horizontal="center" vertical="center"/>
      <protection locked="0" hidden="1"/>
    </xf>
    <xf numFmtId="49" fontId="47" fillId="3" borderId="36" xfId="0" applyNumberFormat="1" applyFont="1" applyFill="1" applyBorder="1" applyAlignment="1" applyProtection="1">
      <alignment horizontal="center" vertical="center"/>
      <protection locked="0" hidden="1"/>
    </xf>
    <xf numFmtId="49" fontId="47" fillId="2" borderId="121" xfId="0" applyNumberFormat="1" applyFont="1" applyFill="1" applyBorder="1" applyAlignment="1" applyProtection="1">
      <alignment horizontal="center" vertical="center" wrapText="1"/>
      <protection locked="0" hidden="1"/>
    </xf>
    <xf numFmtId="0" fontId="47" fillId="3" borderId="0" xfId="0" applyFont="1" applyFill="1" applyAlignment="1" applyProtection="1">
      <alignment horizontal="left" vertical="center" wrapText="1"/>
      <protection hidden="1"/>
    </xf>
    <xf numFmtId="49" fontId="60" fillId="3" borderId="121" xfId="0" applyNumberFormat="1" applyFont="1" applyFill="1" applyBorder="1" applyAlignment="1" applyProtection="1">
      <alignment horizontal="center" vertical="center" wrapText="1"/>
      <protection locked="0" hidden="1"/>
    </xf>
    <xf numFmtId="0" fontId="46" fillId="3" borderId="0" xfId="0" applyFont="1" applyFill="1" applyAlignment="1">
      <alignment horizontal="left" vertical="center" wrapText="1"/>
    </xf>
    <xf numFmtId="0" fontId="16" fillId="72" borderId="7" xfId="0" applyFont="1" applyFill="1" applyBorder="1" applyAlignment="1" applyProtection="1">
      <alignment horizontal="center" vertical="center" wrapText="1"/>
      <protection hidden="1"/>
    </xf>
    <xf numFmtId="0" fontId="16" fillId="72" borderId="8" xfId="0" applyFont="1" applyFill="1" applyBorder="1" applyAlignment="1" applyProtection="1">
      <alignment horizontal="center" vertical="center" wrapText="1"/>
      <protection hidden="1"/>
    </xf>
    <xf numFmtId="0" fontId="16" fillId="72" borderId="28" xfId="0" applyFont="1" applyFill="1" applyBorder="1" applyAlignment="1" applyProtection="1">
      <alignment horizontal="center" vertical="center" wrapText="1"/>
      <protection hidden="1"/>
    </xf>
    <xf numFmtId="0" fontId="16" fillId="72" borderId="162" xfId="0" applyFont="1" applyFill="1" applyBorder="1" applyAlignment="1" applyProtection="1">
      <alignment horizontal="center" vertical="center" wrapText="1"/>
      <protection hidden="1"/>
    </xf>
    <xf numFmtId="0" fontId="16" fillId="72" borderId="22" xfId="0" applyFont="1" applyFill="1" applyBorder="1" applyAlignment="1" applyProtection="1">
      <alignment horizontal="center" vertical="center" wrapText="1"/>
      <protection hidden="1"/>
    </xf>
    <xf numFmtId="0" fontId="16" fillId="72" borderId="23" xfId="0" applyFont="1" applyFill="1" applyBorder="1" applyAlignment="1" applyProtection="1">
      <alignment horizontal="center" vertical="center" wrapText="1"/>
      <protection hidden="1"/>
    </xf>
    <xf numFmtId="49" fontId="47" fillId="2" borderId="172" xfId="0" applyNumberFormat="1" applyFont="1" applyFill="1" applyBorder="1" applyAlignment="1" applyProtection="1">
      <alignment horizontal="center" vertical="center" wrapText="1"/>
      <protection locked="0" hidden="1"/>
    </xf>
    <xf numFmtId="0" fontId="0" fillId="24" borderId="58" xfId="0" applyFill="1" applyBorder="1" applyAlignment="1">
      <alignment horizontal="center" vertical="center"/>
    </xf>
    <xf numFmtId="0" fontId="0" fillId="24" borderId="59" xfId="0" applyFill="1" applyBorder="1" applyAlignment="1">
      <alignment horizontal="center" vertical="center"/>
    </xf>
    <xf numFmtId="0" fontId="0" fillId="16" borderId="58" xfId="0" applyFill="1" applyBorder="1" applyAlignment="1">
      <alignment horizontal="center" vertical="center"/>
    </xf>
    <xf numFmtId="0" fontId="0" fillId="16" borderId="60" xfId="0" applyFill="1" applyBorder="1" applyAlignment="1">
      <alignment horizontal="center" vertical="center"/>
    </xf>
    <xf numFmtId="0" fontId="28" fillId="8" borderId="16" xfId="0" applyFont="1" applyFill="1" applyBorder="1" applyAlignment="1">
      <alignment horizontal="center" vertical="center"/>
    </xf>
    <xf numFmtId="0" fontId="28" fillId="8" borderId="17" xfId="0" applyFont="1" applyFill="1" applyBorder="1" applyAlignment="1">
      <alignment horizontal="center" vertical="center"/>
    </xf>
    <xf numFmtId="0" fontId="28" fillId="8" borderId="84" xfId="0" applyFont="1" applyFill="1" applyBorder="1" applyAlignment="1">
      <alignment horizontal="center" vertical="center"/>
    </xf>
    <xf numFmtId="0" fontId="0" fillId="8" borderId="85" xfId="0" applyFill="1" applyBorder="1" applyAlignment="1">
      <alignment horizontal="center" vertical="center"/>
    </xf>
    <xf numFmtId="0" fontId="0" fillId="8" borderId="17" xfId="0" applyFill="1" applyBorder="1" applyAlignment="1">
      <alignment horizontal="center" vertical="center"/>
    </xf>
    <xf numFmtId="0" fontId="0" fillId="8" borderId="18" xfId="0" applyFill="1" applyBorder="1" applyAlignment="1">
      <alignment horizontal="center" vertical="center"/>
    </xf>
    <xf numFmtId="0" fontId="14" fillId="19" borderId="90" xfId="0" applyFont="1" applyFill="1" applyBorder="1" applyAlignment="1">
      <alignment horizontal="center" vertical="center"/>
    </xf>
    <xf numFmtId="0" fontId="14" fillId="19" borderId="32" xfId="0" applyFont="1" applyFill="1" applyBorder="1" applyAlignment="1">
      <alignment horizontal="center" vertical="center"/>
    </xf>
    <xf numFmtId="0" fontId="14" fillId="19" borderId="91" xfId="0" applyFont="1" applyFill="1" applyBorder="1" applyAlignment="1">
      <alignment horizontal="center" vertical="center"/>
    </xf>
    <xf numFmtId="0" fontId="0" fillId="16" borderId="31" xfId="0" applyFill="1" applyBorder="1" applyAlignment="1">
      <alignment horizontal="center" vertical="center"/>
    </xf>
    <xf numFmtId="0" fontId="0" fillId="16" borderId="32" xfId="0" applyFill="1" applyBorder="1" applyAlignment="1">
      <alignment horizontal="center" vertical="center"/>
    </xf>
    <xf numFmtId="0" fontId="0" fillId="16" borderId="33" xfId="0" applyFill="1" applyBorder="1" applyAlignment="1">
      <alignment horizontal="center" vertical="center"/>
    </xf>
    <xf numFmtId="0" fontId="14" fillId="19" borderId="21" xfId="0" applyFont="1" applyFill="1" applyBorder="1" applyAlignment="1">
      <alignment horizontal="center" vertical="center"/>
    </xf>
    <xf numFmtId="0" fontId="14" fillId="19" borderId="22" xfId="0" applyFont="1" applyFill="1" applyBorder="1" applyAlignment="1">
      <alignment horizontal="center" vertical="center"/>
    </xf>
    <xf numFmtId="0" fontId="0" fillId="8" borderId="31" xfId="0" applyFill="1" applyBorder="1" applyAlignment="1">
      <alignment horizontal="center" vertical="center"/>
    </xf>
    <xf numFmtId="0" fontId="0" fillId="8" borderId="32" xfId="0" applyFill="1" applyBorder="1" applyAlignment="1">
      <alignment horizontal="center" vertical="center"/>
    </xf>
    <xf numFmtId="0" fontId="0" fillId="8" borderId="33" xfId="0" applyFill="1" applyBorder="1" applyAlignment="1">
      <alignment horizontal="center" vertical="center"/>
    </xf>
    <xf numFmtId="0" fontId="14" fillId="19" borderId="53" xfId="0" applyFont="1" applyFill="1" applyBorder="1" applyAlignment="1">
      <alignment horizontal="center" vertical="center"/>
    </xf>
    <xf numFmtId="0" fontId="32" fillId="23" borderId="26" xfId="0" applyFont="1" applyFill="1" applyBorder="1" applyAlignment="1">
      <alignment horizontal="center" vertical="center"/>
    </xf>
    <xf numFmtId="0" fontId="32" fillId="23" borderId="29" xfId="0" applyFont="1" applyFill="1" applyBorder="1" applyAlignment="1">
      <alignment horizontal="center" vertical="center"/>
    </xf>
    <xf numFmtId="0" fontId="32" fillId="23" borderId="30" xfId="0" applyFont="1"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0" fillId="5" borderId="18" xfId="0" applyFill="1" applyBorder="1" applyAlignment="1">
      <alignment horizontal="center" vertical="center"/>
    </xf>
    <xf numFmtId="0" fontId="0" fillId="9" borderId="16" xfId="0" applyFill="1" applyBorder="1" applyAlignment="1">
      <alignment horizontal="center" vertical="center"/>
    </xf>
    <xf numFmtId="0" fontId="0" fillId="9" borderId="17" xfId="0" applyFill="1" applyBorder="1" applyAlignment="1">
      <alignment horizontal="center" vertical="center"/>
    </xf>
    <xf numFmtId="0" fontId="0" fillId="9" borderId="18" xfId="0" applyFill="1" applyBorder="1" applyAlignment="1">
      <alignment horizontal="center" vertical="center"/>
    </xf>
    <xf numFmtId="0" fontId="0" fillId="8" borderId="16" xfId="0" applyFill="1" applyBorder="1" applyAlignment="1">
      <alignment horizontal="center" vertical="center"/>
    </xf>
    <xf numFmtId="0" fontId="14" fillId="5" borderId="31" xfId="0" applyFont="1" applyFill="1" applyBorder="1" applyAlignment="1">
      <alignment horizontal="center" vertical="center"/>
    </xf>
    <xf numFmtId="0" fontId="14" fillId="5" borderId="32" xfId="0" applyFont="1" applyFill="1" applyBorder="1" applyAlignment="1">
      <alignment horizontal="center" vertical="center"/>
    </xf>
    <xf numFmtId="0" fontId="14" fillId="5" borderId="33" xfId="0" applyFont="1" applyFill="1" applyBorder="1" applyAlignment="1">
      <alignment horizontal="center" vertical="center"/>
    </xf>
    <xf numFmtId="0" fontId="14" fillId="9" borderId="31" xfId="0" applyFont="1" applyFill="1" applyBorder="1" applyAlignment="1">
      <alignment horizontal="center" vertical="center"/>
    </xf>
    <xf numFmtId="0" fontId="0" fillId="9" borderId="32" xfId="0" applyFill="1" applyBorder="1" applyAlignment="1">
      <alignment horizontal="center" vertical="center"/>
    </xf>
    <xf numFmtId="0" fontId="0" fillId="9" borderId="33" xfId="0" applyFill="1" applyBorder="1" applyAlignment="1">
      <alignment horizontal="center" vertical="center"/>
    </xf>
    <xf numFmtId="0" fontId="14" fillId="19" borderId="23" xfId="0" applyFont="1" applyFill="1" applyBorder="1" applyAlignment="1">
      <alignment horizontal="center" vertical="center"/>
    </xf>
    <xf numFmtId="0" fontId="14" fillId="6" borderId="21" xfId="0" applyFont="1" applyFill="1" applyBorder="1" applyAlignment="1">
      <alignment horizontal="center" vertical="center"/>
    </xf>
    <xf numFmtId="0" fontId="14" fillId="6" borderId="23" xfId="0" applyFont="1" applyFill="1" applyBorder="1" applyAlignment="1">
      <alignment horizontal="center" vertical="center"/>
    </xf>
    <xf numFmtId="0" fontId="14" fillId="8" borderId="31" xfId="0" applyFont="1" applyFill="1" applyBorder="1" applyAlignment="1">
      <alignment horizontal="center" vertical="center"/>
    </xf>
    <xf numFmtId="0" fontId="14" fillId="8" borderId="32" xfId="0" applyFont="1" applyFill="1" applyBorder="1" applyAlignment="1">
      <alignment horizontal="center" vertical="center"/>
    </xf>
    <xf numFmtId="0" fontId="14" fillId="8" borderId="33" xfId="0" applyFont="1" applyFill="1" applyBorder="1" applyAlignment="1">
      <alignment horizontal="center" vertical="center"/>
    </xf>
    <xf numFmtId="0" fontId="0" fillId="5" borderId="31" xfId="0" applyFill="1" applyBorder="1" applyAlignment="1">
      <alignment horizontal="center" vertical="center"/>
    </xf>
    <xf numFmtId="0" fontId="0" fillId="5" borderId="33" xfId="0" applyFill="1" applyBorder="1" applyAlignment="1">
      <alignment horizontal="center" vertical="center"/>
    </xf>
    <xf numFmtId="0" fontId="0" fillId="5" borderId="32" xfId="0" applyFill="1" applyBorder="1" applyAlignment="1">
      <alignment horizontal="center" vertical="center"/>
    </xf>
    <xf numFmtId="0" fontId="32" fillId="22" borderId="31" xfId="0" applyFont="1" applyFill="1" applyBorder="1" applyAlignment="1">
      <alignment horizontal="center" vertical="center"/>
    </xf>
    <xf numFmtId="0" fontId="32" fillId="22" borderId="32" xfId="0" applyFont="1" applyFill="1" applyBorder="1" applyAlignment="1">
      <alignment horizontal="center" vertical="center"/>
    </xf>
    <xf numFmtId="0" fontId="32" fillId="22" borderId="33" xfId="0" applyFont="1" applyFill="1" applyBorder="1" applyAlignment="1">
      <alignment horizontal="center" vertical="center"/>
    </xf>
    <xf numFmtId="0" fontId="0" fillId="26" borderId="32" xfId="0" applyFill="1" applyBorder="1" applyAlignment="1">
      <alignment horizontal="center" vertical="center" wrapText="1"/>
    </xf>
    <xf numFmtId="0" fontId="0" fillId="26" borderId="32" xfId="0" applyFill="1" applyBorder="1" applyAlignment="1">
      <alignment horizontal="center" vertical="center"/>
    </xf>
    <xf numFmtId="0" fontId="0" fillId="26" borderId="33" xfId="0" applyFill="1" applyBorder="1" applyAlignment="1">
      <alignment horizontal="center" vertical="center"/>
    </xf>
    <xf numFmtId="0" fontId="0" fillId="27" borderId="31" xfId="0" applyFill="1" applyBorder="1" applyAlignment="1">
      <alignment horizontal="center" vertical="center" wrapText="1"/>
    </xf>
    <xf numFmtId="0" fontId="0" fillId="27" borderId="33" xfId="0" applyFill="1" applyBorder="1" applyAlignment="1">
      <alignment horizontal="center" vertical="center"/>
    </xf>
    <xf numFmtId="0" fontId="0" fillId="4" borderId="31" xfId="0" applyFill="1" applyBorder="1" applyAlignment="1">
      <alignment horizontal="center" vertical="center" wrapText="1"/>
    </xf>
    <xf numFmtId="0" fontId="0" fillId="4" borderId="32" xfId="0" applyFill="1" applyBorder="1" applyAlignment="1">
      <alignment horizontal="center" vertical="center" wrapText="1"/>
    </xf>
    <xf numFmtId="0" fontId="0" fillId="4" borderId="33" xfId="0" applyFill="1" applyBorder="1" applyAlignment="1">
      <alignment horizontal="center" vertical="center" wrapText="1"/>
    </xf>
    <xf numFmtId="0" fontId="0" fillId="36" borderId="26" xfId="0" applyFill="1" applyBorder="1" applyAlignment="1">
      <alignment horizontal="center" vertical="center"/>
    </xf>
    <xf numFmtId="0" fontId="0" fillId="36" borderId="30" xfId="0" applyFill="1" applyBorder="1" applyAlignment="1">
      <alignment horizontal="center" vertical="center"/>
    </xf>
    <xf numFmtId="0" fontId="0" fillId="4" borderId="7" xfId="0" applyFill="1" applyBorder="1" applyAlignment="1">
      <alignment horizontal="center" vertical="center" wrapText="1"/>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12"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3" fillId="4" borderId="7"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23" fillId="4" borderId="9" xfId="0" applyFont="1" applyFill="1" applyBorder="1" applyAlignment="1">
      <alignment horizontal="center" vertical="center" wrapText="1"/>
    </xf>
    <xf numFmtId="0" fontId="23" fillId="4" borderId="10" xfId="0" applyFont="1" applyFill="1" applyBorder="1" applyAlignment="1">
      <alignment horizontal="center" vertical="center" wrapText="1"/>
    </xf>
    <xf numFmtId="0" fontId="23" fillId="4" borderId="0" xfId="0" applyFont="1" applyFill="1" applyAlignment="1">
      <alignment horizontal="center" vertical="center" wrapText="1"/>
    </xf>
    <xf numFmtId="0" fontId="23" fillId="4" borderId="11" xfId="0" applyFont="1" applyFill="1" applyBorder="1" applyAlignment="1">
      <alignment horizontal="center" vertical="center" wrapText="1"/>
    </xf>
    <xf numFmtId="0" fontId="23" fillId="4" borderId="12" xfId="0" applyFont="1" applyFill="1" applyBorder="1" applyAlignment="1">
      <alignment horizontal="center" vertical="center" wrapText="1"/>
    </xf>
    <xf numFmtId="0" fontId="23" fillId="4" borderId="13" xfId="0" applyFont="1" applyFill="1" applyBorder="1" applyAlignment="1">
      <alignment horizontal="center" vertical="center" wrapText="1"/>
    </xf>
    <xf numFmtId="0" fontId="23" fillId="4" borderId="14" xfId="0" applyFont="1" applyFill="1" applyBorder="1" applyAlignment="1">
      <alignment horizontal="center" vertical="center" wrapText="1"/>
    </xf>
    <xf numFmtId="0" fontId="0" fillId="16" borderId="26" xfId="0" applyFill="1" applyBorder="1" applyAlignment="1">
      <alignment horizontal="center" vertical="center"/>
    </xf>
    <xf numFmtId="0" fontId="0" fillId="16" borderId="29" xfId="0" applyFill="1" applyBorder="1" applyAlignment="1">
      <alignment horizontal="center" vertical="center"/>
    </xf>
    <xf numFmtId="0" fontId="0" fillId="16" borderId="30" xfId="0" applyFill="1" applyBorder="1" applyAlignment="1">
      <alignment horizontal="center" vertical="center"/>
    </xf>
    <xf numFmtId="0" fontId="0" fillId="37" borderId="26" xfId="0" applyFill="1" applyBorder="1" applyAlignment="1">
      <alignment horizontal="center" vertical="center"/>
    </xf>
    <xf numFmtId="0" fontId="0" fillId="37" borderId="30" xfId="0" applyFill="1" applyBorder="1" applyAlignment="1">
      <alignment horizontal="center" vertical="center"/>
    </xf>
    <xf numFmtId="0" fontId="0" fillId="25" borderId="26" xfId="0" applyFill="1" applyBorder="1" applyAlignment="1">
      <alignment horizontal="center" vertical="center"/>
    </xf>
    <xf numFmtId="0" fontId="0" fillId="25" borderId="30" xfId="0" applyFill="1" applyBorder="1" applyAlignment="1">
      <alignment horizontal="center" vertical="center"/>
    </xf>
    <xf numFmtId="0" fontId="0" fillId="21" borderId="26" xfId="0" applyFill="1" applyBorder="1" applyAlignment="1">
      <alignment horizontal="center" vertical="center"/>
    </xf>
    <xf numFmtId="0" fontId="0" fillId="21" borderId="30" xfId="0" applyFill="1" applyBorder="1" applyAlignment="1">
      <alignment horizontal="center" vertical="center"/>
    </xf>
    <xf numFmtId="0" fontId="0" fillId="3" borderId="7" xfId="0" applyFill="1" applyBorder="1" applyAlignment="1">
      <alignment horizontal="left" vertical="top" wrapText="1"/>
    </xf>
    <xf numFmtId="0" fontId="0" fillId="3" borderId="10" xfId="0" applyFill="1" applyBorder="1" applyAlignment="1">
      <alignment horizontal="left" vertical="top"/>
    </xf>
    <xf numFmtId="0" fontId="0" fillId="3" borderId="12" xfId="0" applyFill="1" applyBorder="1" applyAlignment="1">
      <alignment horizontal="left" vertical="top"/>
    </xf>
    <xf numFmtId="0" fontId="0" fillId="3" borderId="8" xfId="0" applyFill="1" applyBorder="1" applyAlignment="1">
      <alignment horizontal="left" vertical="top" wrapText="1"/>
    </xf>
    <xf numFmtId="0" fontId="0" fillId="3" borderId="0" xfId="0" applyFill="1" applyAlignment="1">
      <alignment horizontal="left" vertical="top" wrapText="1"/>
    </xf>
    <xf numFmtId="0" fontId="0" fillId="3" borderId="13" xfId="0" applyFill="1" applyBorder="1" applyAlignment="1">
      <alignment horizontal="left" vertical="top" wrapText="1"/>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0" fillId="22" borderId="31" xfId="0" applyFill="1" applyBorder="1" applyAlignment="1">
      <alignment horizontal="center" vertical="center"/>
    </xf>
    <xf numFmtId="0" fontId="0" fillId="22" borderId="33" xfId="0" applyFill="1" applyBorder="1" applyAlignment="1">
      <alignment horizontal="center" vertical="center"/>
    </xf>
    <xf numFmtId="0" fontId="0" fillId="22" borderId="31" xfId="0" applyFill="1" applyBorder="1" applyAlignment="1">
      <alignment horizontal="center" vertical="center" wrapText="1"/>
    </xf>
    <xf numFmtId="0" fontId="0" fillId="4" borderId="26" xfId="0" applyFill="1" applyBorder="1" applyAlignment="1">
      <alignment horizontal="center" vertical="center"/>
    </xf>
    <xf numFmtId="0" fontId="0" fillId="4" borderId="29" xfId="0" applyFill="1" applyBorder="1" applyAlignment="1">
      <alignment horizontal="center" vertical="center"/>
    </xf>
    <xf numFmtId="0" fontId="0" fillId="4" borderId="30" xfId="0" applyFill="1" applyBorder="1" applyAlignment="1">
      <alignment horizontal="center" vertical="center"/>
    </xf>
    <xf numFmtId="0" fontId="34" fillId="19" borderId="31" xfId="0" applyFont="1" applyFill="1" applyBorder="1" applyAlignment="1" applyProtection="1">
      <alignment horizontal="center" vertical="center"/>
      <protection hidden="1"/>
    </xf>
    <xf numFmtId="0" fontId="34" fillId="19" borderId="32" xfId="0" applyFont="1" applyFill="1" applyBorder="1" applyAlignment="1" applyProtection="1">
      <alignment horizontal="center" vertical="center"/>
      <protection hidden="1"/>
    </xf>
    <xf numFmtId="0" fontId="34" fillId="19" borderId="33" xfId="0" applyFont="1" applyFill="1" applyBorder="1" applyAlignment="1" applyProtection="1">
      <alignment horizontal="center" vertical="center"/>
      <protection hidden="1"/>
    </xf>
    <xf numFmtId="0" fontId="34" fillId="7" borderId="31" xfId="0" applyFont="1" applyFill="1" applyBorder="1" applyAlignment="1" applyProtection="1">
      <alignment horizontal="center" vertical="center"/>
      <protection hidden="1"/>
    </xf>
    <xf numFmtId="0" fontId="34" fillId="7" borderId="32" xfId="0" applyFont="1" applyFill="1" applyBorder="1" applyAlignment="1" applyProtection="1">
      <alignment horizontal="center" vertical="center"/>
      <protection hidden="1"/>
    </xf>
    <xf numFmtId="0" fontId="34" fillId="7" borderId="33" xfId="0" applyFont="1" applyFill="1" applyBorder="1" applyAlignment="1" applyProtection="1">
      <alignment horizontal="center" vertical="center"/>
      <protection hidden="1"/>
    </xf>
  </cellXfs>
  <cellStyles count="2">
    <cellStyle name="Hyperlink" xfId="1" builtinId="8"/>
    <cellStyle name="Normal" xfId="0" builtinId="0"/>
  </cellStyles>
  <dxfs count="260">
    <dxf>
      <font>
        <color rgb="FF9C0006"/>
      </font>
      <fill>
        <patternFill>
          <bgColor rgb="FFFFC7CE"/>
        </patternFill>
      </fill>
    </dxf>
    <dxf>
      <font>
        <color theme="0"/>
      </font>
      <fill>
        <patternFill>
          <bgColor theme="0"/>
        </patternFill>
      </fill>
      <border>
        <left/>
        <right/>
        <top/>
        <bottom/>
        <vertical/>
        <horizontal/>
      </border>
    </dxf>
    <dxf>
      <font>
        <color theme="1"/>
      </font>
      <fill>
        <patternFill>
          <bgColor theme="0" tint="-0.14996795556505021"/>
        </patternFill>
      </fill>
    </dxf>
    <dxf>
      <font>
        <color rgb="FF006100"/>
      </font>
      <fill>
        <patternFill>
          <bgColor rgb="FFC6EFCE"/>
        </patternFill>
      </fill>
    </dxf>
    <dxf>
      <fill>
        <patternFill>
          <bgColor rgb="FF00FA00"/>
        </patternFill>
      </fill>
    </dxf>
    <dxf>
      <font>
        <color theme="0"/>
      </font>
      <fill>
        <patternFill>
          <bgColor rgb="FFFF0000"/>
        </patternFill>
      </fill>
    </dxf>
    <dxf>
      <font>
        <color theme="0"/>
      </font>
    </dxf>
    <dxf>
      <font>
        <color theme="0"/>
      </font>
      <fill>
        <patternFill>
          <bgColor theme="0"/>
        </patternFill>
      </fill>
    </dxf>
    <dxf>
      <font>
        <color theme="0"/>
      </font>
      <fill>
        <patternFill>
          <bgColor theme="0"/>
        </patternFill>
      </fill>
    </dxf>
    <dxf>
      <font>
        <color theme="0"/>
      </font>
    </dxf>
    <dxf>
      <fill>
        <patternFill>
          <bgColor rgb="FF73FB79"/>
        </patternFill>
      </fill>
    </dxf>
    <dxf>
      <fill>
        <patternFill>
          <bgColor rgb="FFFF0000"/>
        </patternFill>
      </fill>
    </dxf>
    <dxf>
      <font>
        <color rgb="FF006100"/>
      </font>
      <fill>
        <patternFill>
          <bgColor rgb="FFC6EFCE"/>
        </patternFill>
      </fill>
    </dxf>
    <dxf>
      <font>
        <color rgb="FF9C0006"/>
      </font>
      <fill>
        <patternFill>
          <bgColor rgb="FFFFC7CE"/>
        </patternFill>
      </fill>
    </dxf>
    <dxf>
      <numFmt numFmtId="165" formatCode=";;;"/>
    </dxf>
    <dxf>
      <font>
        <b/>
        <i val="0"/>
      </font>
      <fill>
        <patternFill>
          <bgColor rgb="FF73FB79"/>
        </patternFill>
      </fill>
    </dxf>
    <dxf>
      <font>
        <color theme="1"/>
      </font>
      <fill>
        <patternFill>
          <bgColor rgb="FFFF0000"/>
        </patternFill>
      </fill>
    </dxf>
    <dxf>
      <numFmt numFmtId="165" formatCode=";;;"/>
    </dxf>
    <dxf>
      <font>
        <color theme="0"/>
      </font>
      <fill>
        <patternFill>
          <bgColor rgb="FFFF0000"/>
        </patternFill>
      </fill>
    </dxf>
    <dxf>
      <font>
        <color theme="1"/>
      </font>
      <fill>
        <patternFill>
          <bgColor rgb="FF73FC79"/>
        </patternFill>
      </fill>
    </dxf>
    <dxf>
      <numFmt numFmtId="165" formatCode=";;;"/>
    </dxf>
    <dxf>
      <numFmt numFmtId="165" formatCode=";;;"/>
    </dxf>
    <dxf>
      <font>
        <color rgb="FFC00000"/>
      </font>
    </dxf>
    <dxf>
      <font>
        <color theme="1"/>
      </font>
      <fill>
        <patternFill>
          <bgColor rgb="FF73FD79"/>
        </patternFill>
      </fill>
    </dxf>
    <dxf>
      <font>
        <color theme="0"/>
      </font>
      <fill>
        <patternFill>
          <bgColor rgb="FFFF0000"/>
        </patternFill>
      </fill>
    </dxf>
    <dxf>
      <font>
        <color theme="1"/>
      </font>
      <fill>
        <patternFill>
          <bgColor rgb="FF73FC79"/>
        </patternFill>
      </fill>
    </dxf>
    <dxf>
      <fill>
        <patternFill>
          <bgColor rgb="FF73FB79"/>
        </patternFill>
      </fill>
    </dxf>
    <dxf>
      <font>
        <color theme="0"/>
      </font>
      <fill>
        <patternFill>
          <bgColor rgb="FFFF0000"/>
        </patternFill>
      </fill>
    </dxf>
    <dxf>
      <fill>
        <patternFill>
          <bgColor theme="0" tint="-0.14996795556505021"/>
        </patternFill>
      </fill>
    </dxf>
    <dxf>
      <numFmt numFmtId="165" formatCode=";;;"/>
    </dxf>
    <dxf>
      <font>
        <color rgb="FFC00000"/>
      </font>
      <border>
        <left style="dashed">
          <color theme="1"/>
        </left>
        <right style="dashed">
          <color theme="1"/>
        </right>
        <top style="dashed">
          <color theme="1"/>
        </top>
        <bottom style="dashed">
          <color theme="1"/>
        </bottom>
        <vertical/>
        <horizontal/>
      </border>
    </dxf>
    <dxf>
      <font>
        <color theme="0"/>
      </font>
      <fill>
        <patternFill>
          <bgColor theme="0"/>
        </patternFill>
      </fill>
      <border>
        <left/>
        <right/>
        <top/>
        <bottom/>
      </border>
    </dxf>
    <dxf>
      <font>
        <color theme="0"/>
      </font>
      <fill>
        <patternFill>
          <bgColor theme="0"/>
        </patternFill>
      </fill>
      <border>
        <left/>
        <right/>
        <vertical/>
        <horizontal/>
      </border>
    </dxf>
    <dxf>
      <font>
        <color theme="1"/>
      </font>
      <fill>
        <patternFill>
          <bgColor rgb="FF73FC79"/>
        </patternFill>
      </fill>
    </dxf>
    <dxf>
      <font>
        <color theme="0"/>
      </font>
      <fill>
        <patternFill>
          <bgColor rgb="FFFF0000"/>
        </patternFill>
      </fill>
    </dxf>
    <dxf>
      <fill>
        <patternFill>
          <bgColor rgb="FF73FB79"/>
        </patternFill>
      </fill>
    </dxf>
    <dxf>
      <font>
        <color theme="0"/>
      </font>
      <fill>
        <patternFill>
          <bgColor rgb="FFFF0000"/>
        </patternFill>
      </fill>
    </dxf>
    <dxf>
      <font>
        <color theme="0"/>
      </font>
      <fill>
        <patternFill>
          <bgColor rgb="FFFF0000"/>
        </patternFill>
      </fill>
    </dxf>
    <dxf>
      <fill>
        <patternFill>
          <bgColor rgb="FF73FB79"/>
        </patternFill>
      </fill>
    </dxf>
    <dxf>
      <numFmt numFmtId="165" formatCode=";;;"/>
    </dxf>
    <dxf>
      <font>
        <b/>
        <i val="0"/>
      </font>
      <fill>
        <patternFill>
          <bgColor rgb="FF73FB79"/>
        </patternFill>
      </fill>
    </dxf>
    <dxf>
      <font>
        <b/>
        <i val="0"/>
      </font>
      <fill>
        <patternFill>
          <bgColor rgb="FFFF0000"/>
        </patternFill>
      </fill>
    </dxf>
    <dxf>
      <numFmt numFmtId="165" formatCode=";;;"/>
    </dxf>
    <dxf>
      <fill>
        <patternFill>
          <bgColor theme="0" tint="-0.14996795556505021"/>
        </patternFill>
      </fill>
    </dxf>
    <dxf>
      <numFmt numFmtId="165" formatCode=";;;"/>
    </dxf>
    <dxf>
      <font>
        <color theme="0"/>
      </font>
      <fill>
        <patternFill patternType="solid">
          <bgColor theme="0"/>
        </patternFill>
      </fill>
      <border>
        <left/>
        <right/>
        <top/>
        <bottom/>
        <vertical/>
        <horizontal/>
      </border>
    </dxf>
    <dxf>
      <font>
        <color rgb="FFC00000"/>
      </font>
      <border>
        <left style="dashed">
          <color theme="1"/>
        </left>
        <right style="dashed">
          <color theme="1"/>
        </right>
        <top style="dashed">
          <color theme="1"/>
        </top>
        <bottom style="dashed">
          <color theme="1"/>
        </bottom>
        <vertical/>
        <horizontal/>
      </border>
    </dxf>
    <dxf>
      <font>
        <color theme="0"/>
      </font>
      <fill>
        <patternFill>
          <bgColor theme="0"/>
        </patternFill>
      </fill>
      <border>
        <left/>
        <right/>
        <vertical/>
        <horizontal/>
      </border>
    </dxf>
    <dxf>
      <font>
        <color theme="1"/>
      </font>
      <fill>
        <patternFill>
          <bgColor theme="0"/>
        </patternFill>
      </fill>
      <border>
        <left/>
        <right style="thin">
          <color auto="1"/>
        </right>
        <top style="thin">
          <color auto="1"/>
        </top>
        <bottom/>
      </border>
    </dxf>
    <dxf>
      <font>
        <color theme="1"/>
      </font>
      <fill>
        <patternFill>
          <bgColor theme="0"/>
        </patternFill>
      </fill>
      <border>
        <left/>
        <right style="thin">
          <color auto="1"/>
        </right>
        <top/>
        <bottom style="thin">
          <color auto="1"/>
        </bottom>
      </border>
    </dxf>
    <dxf>
      <font>
        <b/>
        <i val="0"/>
        <color theme="1"/>
      </font>
      <fill>
        <patternFill>
          <bgColor rgb="FFFC8EB5"/>
        </patternFill>
      </fill>
      <border>
        <left/>
        <right/>
        <top style="thin">
          <color auto="1"/>
        </top>
        <bottom style="thin">
          <color auto="1"/>
        </bottom>
        <vertical/>
        <horizontal/>
      </border>
    </dxf>
    <dxf>
      <font>
        <b/>
        <i val="0"/>
        <color theme="0"/>
      </font>
      <fill>
        <patternFill>
          <bgColor rgb="FFF03A63"/>
        </patternFill>
      </fill>
      <border>
        <left/>
        <right/>
        <top style="thin">
          <color auto="1"/>
        </top>
        <bottom style="thin">
          <color auto="1"/>
        </bottom>
        <vertical/>
        <horizontal/>
      </border>
    </dxf>
    <dxf>
      <font>
        <b/>
        <i val="0"/>
        <color theme="1"/>
      </font>
      <fill>
        <patternFill>
          <bgColor rgb="FF76D7FF"/>
        </patternFill>
      </fill>
      <border>
        <left/>
        <right/>
        <top style="thin">
          <color auto="1"/>
        </top>
        <bottom style="thin">
          <color auto="1"/>
        </bottom>
        <vertical/>
        <horizontal/>
      </border>
    </dxf>
    <dxf>
      <font>
        <b/>
        <i val="0"/>
        <color theme="1"/>
      </font>
      <fill>
        <patternFill>
          <bgColor rgb="FFF45E41"/>
        </patternFill>
      </fill>
      <border>
        <left/>
        <right/>
        <top style="thin">
          <color auto="1"/>
        </top>
        <bottom style="thin">
          <color auto="1"/>
        </bottom>
        <vertical/>
        <horizontal/>
      </border>
    </dxf>
    <dxf>
      <font>
        <b/>
        <i val="0"/>
        <color theme="1"/>
      </font>
      <fill>
        <patternFill>
          <bgColor rgb="FFFF7CA9"/>
        </patternFill>
      </fill>
      <border>
        <left/>
        <right/>
        <top style="thin">
          <color auto="1"/>
        </top>
        <bottom style="thin">
          <color auto="1"/>
        </bottom>
        <vertical/>
        <horizontal/>
      </border>
    </dxf>
    <dxf>
      <font>
        <b/>
        <i val="0"/>
        <color theme="1"/>
      </font>
      <fill>
        <patternFill>
          <bgColor rgb="FF2BCFD1"/>
        </patternFill>
      </fill>
      <border>
        <left/>
        <right/>
        <top style="thin">
          <color auto="1"/>
        </top>
        <bottom style="thin">
          <color auto="1"/>
        </bottom>
        <vertical/>
        <horizontal/>
      </border>
    </dxf>
    <dxf>
      <font>
        <b/>
        <i val="0"/>
        <color theme="1"/>
      </font>
      <fill>
        <patternFill>
          <bgColor rgb="FF00FB92"/>
        </patternFill>
      </fill>
      <border>
        <left/>
        <right/>
        <top style="thin">
          <color auto="1"/>
        </top>
        <bottom style="thin">
          <color auto="1"/>
        </bottom>
        <vertical/>
        <horizontal/>
      </border>
    </dxf>
    <dxf>
      <font>
        <b/>
        <i val="0"/>
        <color theme="1"/>
      </font>
      <fill>
        <patternFill>
          <bgColor rgb="FFFFD966"/>
        </patternFill>
      </fill>
      <border>
        <left/>
        <right/>
        <top style="thin">
          <color auto="1"/>
        </top>
        <bottom style="thin">
          <color auto="1"/>
        </bottom>
        <vertical/>
        <horizontal/>
      </border>
    </dxf>
    <dxf>
      <font>
        <b/>
        <i val="0"/>
        <color theme="1"/>
      </font>
      <fill>
        <patternFill>
          <bgColor rgb="FFF69871"/>
        </patternFill>
      </fill>
      <border>
        <left/>
        <right/>
        <top style="thin">
          <color auto="1"/>
        </top>
        <bottom style="thin">
          <color auto="1"/>
        </bottom>
        <vertical/>
        <horizontal/>
      </border>
    </dxf>
    <dxf>
      <font>
        <b/>
        <i val="0"/>
        <color theme="0"/>
      </font>
      <fill>
        <patternFill>
          <bgColor rgb="FF009193"/>
        </patternFill>
      </fill>
      <border>
        <left/>
        <right/>
        <top style="thin">
          <color auto="1"/>
        </top>
        <bottom style="thin">
          <color auto="1"/>
        </bottom>
        <vertical/>
        <horizontal/>
      </border>
    </dxf>
    <dxf>
      <font>
        <color theme="1"/>
      </font>
      <fill>
        <patternFill>
          <bgColor theme="0"/>
        </patternFill>
      </fill>
      <border>
        <left style="thin">
          <color auto="1"/>
        </left>
        <right style="thin">
          <color auto="1"/>
        </right>
        <top style="thin">
          <color auto="1"/>
        </top>
        <bottom style="thin">
          <color auto="1"/>
        </bottom>
        <vertical/>
        <horizontal/>
      </border>
    </dxf>
    <dxf>
      <font>
        <b/>
        <i val="0"/>
        <color theme="0"/>
      </font>
      <fill>
        <patternFill>
          <bgColor theme="1"/>
        </patternFill>
      </fill>
      <border>
        <left/>
        <right/>
        <top style="thin">
          <color auto="1"/>
        </top>
        <bottom style="thin">
          <color auto="1"/>
        </bottom>
        <vertical/>
        <horizontal/>
      </border>
    </dxf>
    <dxf>
      <font>
        <b/>
        <i val="0"/>
        <color theme="1"/>
      </font>
      <fill>
        <patternFill>
          <bgColor rgb="FF2AA6CC"/>
        </patternFill>
      </fill>
      <border>
        <left/>
        <right/>
        <top style="thin">
          <color auto="1"/>
        </top>
        <bottom style="thin">
          <color auto="1"/>
        </bottom>
        <vertical/>
        <horizontal/>
      </border>
    </dxf>
    <dxf>
      <font>
        <b/>
        <i val="0"/>
        <color theme="0"/>
      </font>
      <fill>
        <patternFill>
          <bgColor rgb="FFA7499A"/>
        </patternFill>
      </fill>
      <border>
        <left/>
        <right/>
        <top style="thin">
          <color auto="1"/>
        </top>
        <bottom style="thin">
          <color auto="1"/>
        </bottom>
        <vertical/>
        <horizontal/>
      </border>
    </dxf>
    <dxf>
      <font>
        <b/>
        <i val="0"/>
        <color theme="1"/>
      </font>
      <fill>
        <patternFill>
          <bgColor rgb="FFF4448D"/>
        </patternFill>
      </fill>
      <border>
        <left/>
        <right/>
        <top style="thin">
          <color auto="1"/>
        </top>
        <bottom style="thin">
          <color auto="1"/>
        </bottom>
        <vertical/>
        <horizontal/>
      </border>
    </dxf>
    <dxf>
      <font>
        <b/>
        <i val="0"/>
        <color theme="1"/>
      </font>
      <fill>
        <patternFill>
          <bgColor rgb="FFF5B084"/>
        </patternFill>
      </fill>
      <border>
        <left/>
        <right/>
        <top style="thin">
          <color auto="1"/>
        </top>
        <bottom style="thin">
          <color auto="1"/>
        </bottom>
        <vertical/>
        <horizontal/>
      </border>
    </dxf>
    <dxf>
      <font>
        <b/>
        <i val="0"/>
        <color theme="0"/>
      </font>
      <fill>
        <patternFill>
          <bgColor rgb="FF005493"/>
        </patternFill>
      </fill>
      <border>
        <left/>
        <right/>
        <top style="thin">
          <color auto="1"/>
        </top>
        <bottom style="thin">
          <color auto="1"/>
        </bottom>
        <vertical/>
        <horizontal/>
      </border>
    </dxf>
    <dxf>
      <font>
        <b/>
        <i val="0"/>
        <color theme="0"/>
      </font>
      <fill>
        <patternFill>
          <bgColor rgb="FF5862B8"/>
        </patternFill>
      </fill>
      <border>
        <left/>
        <right/>
        <top style="thin">
          <color auto="1"/>
        </top>
        <bottom style="thin">
          <color auto="1"/>
        </bottom>
        <vertical/>
        <horizontal/>
      </border>
    </dxf>
    <dxf>
      <font>
        <b/>
        <i val="0"/>
        <color theme="1"/>
      </font>
      <fill>
        <patternFill>
          <bgColor rgb="FFFFFF99"/>
        </patternFill>
      </fill>
      <border>
        <left/>
        <right/>
        <top style="thin">
          <color auto="1"/>
        </top>
        <bottom style="thin">
          <color auto="1"/>
        </bottom>
        <vertical/>
        <horizontal/>
      </border>
    </dxf>
    <dxf>
      <font>
        <b/>
        <i val="0"/>
        <color theme="1"/>
      </font>
      <fill>
        <patternFill>
          <bgColor rgb="FF6ABC4A"/>
        </patternFill>
      </fill>
      <border>
        <left/>
        <right/>
        <top style="thin">
          <color auto="1"/>
        </top>
        <bottom style="thin">
          <color auto="1"/>
        </bottom>
        <vertical/>
        <horizontal/>
      </border>
    </dxf>
    <dxf>
      <font>
        <b/>
        <i val="0"/>
        <color theme="1"/>
      </font>
      <fill>
        <patternFill>
          <bgColor rgb="FF9877C2"/>
        </patternFill>
      </fill>
      <border>
        <left/>
        <right/>
        <top style="thin">
          <color auto="1"/>
        </top>
        <bottom style="thin">
          <color auto="1"/>
        </bottom>
        <vertical/>
        <horizontal/>
      </border>
    </dxf>
    <dxf>
      <font>
        <b/>
        <i val="0"/>
        <color theme="1"/>
      </font>
      <fill>
        <patternFill>
          <bgColor rgb="FFA8C46A"/>
        </patternFill>
      </fill>
      <border>
        <left/>
        <right/>
        <top style="thin">
          <color auto="1"/>
        </top>
        <bottom style="thin">
          <color auto="1"/>
        </bottom>
        <vertical/>
        <horizontal/>
      </border>
    </dxf>
    <dxf>
      <font>
        <b/>
        <i val="0"/>
        <color theme="0"/>
      </font>
      <fill>
        <patternFill>
          <bgColor rgb="FF595959"/>
        </patternFill>
      </fill>
      <border>
        <left/>
        <right/>
        <top style="thin">
          <color auto="1"/>
        </top>
        <bottom style="thin">
          <color auto="1"/>
        </bottom>
        <vertical/>
        <horizontal/>
      </border>
    </dxf>
    <dxf>
      <font>
        <b/>
        <i val="0"/>
        <color theme="1"/>
      </font>
      <fill>
        <patternFill>
          <bgColor rgb="FFFCBC18"/>
        </patternFill>
      </fill>
      <border>
        <left/>
        <right/>
        <top style="thin">
          <color auto="1"/>
        </top>
        <bottom style="thin">
          <color auto="1"/>
        </bottom>
        <vertical/>
        <horizontal/>
      </border>
    </dxf>
    <dxf>
      <font>
        <b/>
        <i val="0"/>
        <color theme="0"/>
      </font>
      <fill>
        <patternFill>
          <bgColor rgb="FF3981C7"/>
        </patternFill>
      </fill>
      <border>
        <left/>
        <right/>
        <top style="thin">
          <color auto="1"/>
        </top>
        <bottom style="thin">
          <color auto="1"/>
        </bottom>
        <vertical/>
        <horizontal/>
      </border>
    </dxf>
    <dxf>
      <font>
        <b/>
        <i val="0"/>
        <color theme="1"/>
      </font>
      <fill>
        <patternFill>
          <bgColor rgb="FFE794C8"/>
        </patternFill>
      </fill>
      <border>
        <left/>
        <right/>
        <top style="thin">
          <color auto="1"/>
        </top>
        <bottom style="thin">
          <color auto="1"/>
        </bottom>
        <vertical/>
        <horizontal/>
      </border>
    </dxf>
    <dxf>
      <font>
        <b/>
        <i val="0"/>
        <color theme="0"/>
      </font>
      <fill>
        <patternFill>
          <bgColor rgb="FFEC3650"/>
        </patternFill>
      </fill>
      <border>
        <left/>
        <right/>
        <top style="thin">
          <color auto="1"/>
        </top>
        <bottom style="thin">
          <color auto="1"/>
        </bottom>
        <vertical/>
        <horizontal/>
      </border>
    </dxf>
    <dxf>
      <font>
        <b/>
        <i val="0"/>
        <color theme="1"/>
      </font>
      <fill>
        <patternFill>
          <bgColor rgb="FFD8B545"/>
        </patternFill>
      </fill>
      <border>
        <left/>
        <right/>
        <top style="thin">
          <color auto="1"/>
        </top>
        <bottom style="thin">
          <color auto="1"/>
        </bottom>
        <vertical/>
        <horizontal/>
      </border>
    </dxf>
    <dxf>
      <font>
        <b/>
        <i val="0"/>
        <color theme="1"/>
      </font>
      <fill>
        <patternFill>
          <bgColor rgb="FFCBA1DA"/>
        </patternFill>
      </fill>
      <border>
        <left/>
        <right/>
        <top style="thin">
          <color auto="1"/>
        </top>
        <bottom style="thin">
          <color auto="1"/>
        </bottom>
        <vertical/>
        <horizontal/>
      </border>
    </dxf>
    <dxf>
      <font>
        <b/>
        <i val="0"/>
        <color theme="1"/>
      </font>
      <fill>
        <patternFill>
          <bgColor theme="0" tint="-0.14996795556505021"/>
        </patternFill>
      </fill>
      <border>
        <left/>
        <right/>
        <top style="thin">
          <color auto="1"/>
        </top>
        <bottom style="thin">
          <color auto="1"/>
        </bottom>
        <vertical/>
        <horizontal/>
      </border>
    </dxf>
    <dxf>
      <font>
        <color theme="0"/>
      </font>
      <fill>
        <patternFill>
          <bgColor theme="0"/>
        </patternFill>
      </fill>
      <border>
        <left/>
        <right/>
        <top/>
        <bottom/>
        <vertical/>
        <horizontal/>
      </border>
    </dxf>
    <dxf>
      <font>
        <color rgb="FFD8B545"/>
      </font>
      <fill>
        <patternFill>
          <bgColor rgb="FFD8B545"/>
        </patternFill>
      </fill>
    </dxf>
    <dxf>
      <font>
        <color rgb="FFEC3650"/>
      </font>
      <fill>
        <patternFill>
          <bgColor rgb="FFEC3650"/>
        </patternFill>
      </fill>
    </dxf>
    <dxf>
      <font>
        <color theme="0" tint="-0.14996795556505021"/>
      </font>
      <fill>
        <patternFill>
          <bgColor theme="0" tint="-0.14996795556505021"/>
        </patternFill>
      </fill>
    </dxf>
    <dxf>
      <font>
        <color rgb="FFEC3650"/>
      </font>
      <fill>
        <patternFill>
          <bgColor rgb="FFEC3650"/>
        </patternFill>
      </fill>
    </dxf>
    <dxf>
      <font>
        <color rgb="FFFC8EB5"/>
      </font>
      <fill>
        <patternFill>
          <bgColor rgb="FFFC8EB5"/>
        </patternFill>
      </fill>
    </dxf>
    <dxf>
      <font>
        <color theme="0" tint="-0.14996795556505021"/>
      </font>
      <fill>
        <patternFill>
          <bgColor theme="0" tint="-0.14996795556505021"/>
        </patternFill>
      </fill>
    </dxf>
    <dxf>
      <font>
        <color rgb="FFFC8EB5"/>
      </font>
      <fill>
        <patternFill>
          <bgColor rgb="FFFC8EB5"/>
        </patternFill>
      </fill>
    </dxf>
    <dxf>
      <font>
        <color rgb="FF3981C7"/>
      </font>
      <fill>
        <patternFill>
          <bgColor rgb="FF3981C7"/>
        </patternFill>
      </fill>
    </dxf>
    <dxf>
      <font>
        <color rgb="FFA8C46A"/>
      </font>
      <fill>
        <patternFill>
          <bgColor rgb="FFA8C46A"/>
        </patternFill>
      </fill>
    </dxf>
    <dxf>
      <font>
        <color rgb="FF3981C7"/>
      </font>
      <fill>
        <patternFill>
          <bgColor rgb="FF3981C7"/>
        </patternFill>
      </fill>
    </dxf>
    <dxf>
      <font>
        <color rgb="FFE794C8"/>
      </font>
      <fill>
        <patternFill>
          <bgColor rgb="FFE794C8"/>
        </patternFill>
      </fill>
    </dxf>
    <dxf>
      <font>
        <color rgb="FFF69871"/>
      </font>
      <fill>
        <patternFill>
          <bgColor rgb="FFF69871"/>
        </patternFill>
      </fill>
    </dxf>
    <dxf>
      <font>
        <color rgb="FFE794C8"/>
      </font>
      <fill>
        <patternFill>
          <bgColor rgb="FFE794C8"/>
        </patternFill>
      </fill>
    </dxf>
    <dxf>
      <font>
        <color rgb="FFFCBC18"/>
      </font>
      <fill>
        <patternFill>
          <bgColor rgb="FFFCBC18"/>
        </patternFill>
      </fill>
    </dxf>
    <dxf>
      <font>
        <color rgb="FFF69871"/>
      </font>
      <fill>
        <patternFill>
          <bgColor rgb="FFF69871"/>
        </patternFill>
      </fill>
    </dxf>
    <dxf>
      <font>
        <color rgb="FFFCBC18"/>
      </font>
      <fill>
        <patternFill>
          <bgColor rgb="FFFCBC18"/>
        </patternFill>
      </fill>
    </dxf>
    <dxf>
      <font>
        <color rgb="FFCBA1DA"/>
      </font>
      <fill>
        <patternFill>
          <bgColor rgb="FFCBA1DA"/>
        </patternFill>
      </fill>
    </dxf>
    <dxf>
      <font>
        <color rgb="FFA8C46A"/>
      </font>
      <fill>
        <patternFill>
          <bgColor rgb="FFA8C46A"/>
        </patternFill>
      </fill>
    </dxf>
    <dxf>
      <font>
        <color rgb="FFCBA1DA"/>
      </font>
      <fill>
        <patternFill>
          <bgColor rgb="FFCBA1DA"/>
        </patternFill>
      </fill>
    </dxf>
    <dxf>
      <font>
        <color rgb="FF595959"/>
      </font>
      <fill>
        <patternFill>
          <bgColor rgb="FF595959"/>
        </patternFill>
      </fill>
    </dxf>
    <dxf>
      <font>
        <color rgb="FF005493"/>
      </font>
      <fill>
        <patternFill>
          <bgColor rgb="FF005493"/>
        </patternFill>
      </fill>
    </dxf>
    <dxf>
      <font>
        <color rgb="FF6ABC4A"/>
      </font>
      <fill>
        <patternFill>
          <bgColor rgb="FF6ABC4A"/>
        </patternFill>
      </fill>
    </dxf>
    <dxf>
      <font>
        <color rgb="FF9877C2"/>
      </font>
      <fill>
        <patternFill>
          <bgColor rgb="FF9877C2"/>
        </patternFill>
      </fill>
    </dxf>
    <dxf>
      <fill>
        <patternFill>
          <bgColor rgb="FFF2F2FF"/>
        </patternFill>
      </fill>
    </dxf>
    <dxf>
      <font>
        <color rgb="FF9877C2"/>
      </font>
      <fill>
        <patternFill>
          <bgColor rgb="FF9877C2"/>
        </patternFill>
      </fill>
    </dxf>
    <dxf>
      <font>
        <color rgb="FF5862B8"/>
      </font>
      <fill>
        <patternFill>
          <bgColor rgb="FF5862B8"/>
        </patternFill>
      </fill>
    </dxf>
    <dxf>
      <fill>
        <patternFill>
          <bgColor rgb="FFF2F2FF"/>
        </patternFill>
      </fill>
    </dxf>
    <dxf>
      <font>
        <color rgb="FF5862B8"/>
      </font>
      <fill>
        <patternFill>
          <bgColor rgb="FF5862B8"/>
        </patternFill>
      </fill>
    </dxf>
    <dxf>
      <font>
        <color rgb="FFFFFF99"/>
      </font>
      <fill>
        <patternFill>
          <bgColor rgb="FFFFFF99"/>
        </patternFill>
      </fill>
    </dxf>
    <dxf>
      <font>
        <color rgb="FF005493"/>
      </font>
      <fill>
        <patternFill>
          <bgColor rgb="FF005493"/>
        </patternFill>
      </fill>
    </dxf>
    <dxf>
      <font>
        <color rgb="FFFFFF99"/>
      </font>
      <fill>
        <patternFill>
          <bgColor rgb="FFFFFF99"/>
        </patternFill>
      </fill>
    </dxf>
    <dxf>
      <font>
        <color rgb="FFF4448D"/>
      </font>
      <fill>
        <patternFill>
          <bgColor rgb="FFF4448D"/>
        </patternFill>
      </fill>
    </dxf>
    <dxf>
      <fill>
        <patternFill>
          <bgColor theme="0" tint="-4.9989318521683403E-2"/>
        </patternFill>
      </fill>
    </dxf>
    <dxf>
      <font>
        <color rgb="FFF4448D"/>
      </font>
      <fill>
        <patternFill>
          <bgColor rgb="FFF4448D"/>
        </patternFill>
      </fill>
    </dxf>
    <dxf>
      <font>
        <color rgb="FFF5B084"/>
      </font>
      <fill>
        <patternFill>
          <bgColor rgb="FFF5B084"/>
        </patternFill>
      </fill>
    </dxf>
    <dxf>
      <fill>
        <patternFill>
          <bgColor theme="0" tint="-4.9989318521683403E-2"/>
        </patternFill>
      </fill>
    </dxf>
    <dxf>
      <font>
        <color rgb="FFF5B084"/>
      </font>
      <fill>
        <patternFill>
          <bgColor rgb="FFF5B084"/>
        </patternFill>
      </fill>
    </dxf>
    <dxf>
      <font>
        <color rgb="FF2AA6CC"/>
      </font>
      <fill>
        <patternFill>
          <bgColor rgb="FF2AA6CC"/>
        </patternFill>
      </fill>
    </dxf>
    <dxf>
      <font>
        <color rgb="FF009193"/>
      </font>
      <fill>
        <patternFill>
          <bgColor rgb="FF009193"/>
        </patternFill>
      </fill>
    </dxf>
    <dxf>
      <font>
        <color rgb="FF2AA6CC"/>
      </font>
      <fill>
        <patternFill>
          <bgColor rgb="FF2AA6CC"/>
        </patternFill>
      </fill>
    </dxf>
    <dxf>
      <font>
        <color rgb="FFA7499A"/>
      </font>
      <fill>
        <patternFill>
          <bgColor rgb="FFA7499A"/>
        </patternFill>
      </fill>
    </dxf>
    <dxf>
      <numFmt numFmtId="165" formatCode=";;;"/>
    </dxf>
    <dxf>
      <font>
        <color rgb="FFA7499A"/>
      </font>
      <fill>
        <patternFill>
          <bgColor rgb="FFA7499A"/>
        </patternFill>
      </fill>
    </dxf>
    <dxf>
      <font>
        <color rgb="FFFFD966"/>
      </font>
      <fill>
        <patternFill>
          <bgColor rgb="FFFFD966"/>
        </patternFill>
      </fill>
    </dxf>
    <dxf>
      <font>
        <color rgb="FF009193"/>
      </font>
      <fill>
        <patternFill>
          <bgColor rgb="FF009193"/>
        </patternFill>
      </fill>
    </dxf>
    <dxf>
      <font>
        <color rgb="FFFFD966"/>
      </font>
      <fill>
        <patternFill>
          <bgColor rgb="FFFFD966"/>
        </patternFill>
      </fill>
    </dxf>
    <dxf>
      <font>
        <color theme="1"/>
      </font>
      <fill>
        <patternFill>
          <bgColor theme="1"/>
        </patternFill>
      </fill>
    </dxf>
    <dxf>
      <font>
        <color rgb="FF595959"/>
      </font>
      <fill>
        <patternFill>
          <bgColor rgb="FF595959"/>
        </patternFill>
      </fill>
    </dxf>
    <dxf>
      <font>
        <color theme="1"/>
      </font>
      <fill>
        <patternFill>
          <bgColor theme="1"/>
        </patternFill>
      </fill>
    </dxf>
    <dxf>
      <font>
        <color rgb="FFFF7CA9"/>
      </font>
      <fill>
        <patternFill>
          <bgColor rgb="FFFF7CA9"/>
        </patternFill>
      </fill>
    </dxf>
    <dxf>
      <font>
        <color rgb="FF76D7FF"/>
      </font>
      <fill>
        <patternFill>
          <bgColor rgb="FF76D7FF"/>
        </patternFill>
      </fill>
    </dxf>
    <dxf>
      <font>
        <color rgb="FFFF7CA9"/>
      </font>
      <fill>
        <patternFill>
          <bgColor rgb="FFFF7CA9"/>
        </patternFill>
      </fill>
    </dxf>
    <dxf>
      <font>
        <color rgb="FF00FB92"/>
      </font>
      <fill>
        <patternFill>
          <bgColor rgb="FF00FB92"/>
        </patternFill>
      </fill>
    </dxf>
    <dxf>
      <font>
        <color rgb="FF76D7FF"/>
      </font>
      <fill>
        <patternFill>
          <bgColor rgb="FF76D7FF"/>
        </patternFill>
      </fill>
    </dxf>
    <dxf>
      <font>
        <color rgb="FF00FB92"/>
      </font>
      <fill>
        <patternFill>
          <bgColor rgb="FF00FB92"/>
        </patternFill>
      </fill>
    </dxf>
    <dxf>
      <font>
        <color rgb="FFF03A63"/>
      </font>
      <fill>
        <patternFill>
          <bgColor rgb="FFF03A63"/>
        </patternFill>
      </fill>
    </dxf>
    <dxf>
      <font>
        <color rgb="FF2BCFD1"/>
      </font>
      <fill>
        <patternFill>
          <bgColor rgb="FF2BCFD1"/>
        </patternFill>
      </fill>
    </dxf>
    <dxf>
      <font>
        <color rgb="FFF03A63"/>
      </font>
      <fill>
        <patternFill>
          <bgColor rgb="FFF03A63"/>
        </patternFill>
      </fill>
    </dxf>
    <dxf>
      <font>
        <color rgb="FFF45E41"/>
      </font>
      <fill>
        <patternFill>
          <bgColor rgb="FFF45E41"/>
        </patternFill>
      </fill>
    </dxf>
    <dxf>
      <font>
        <color rgb="FF2BCFD1"/>
      </font>
      <fill>
        <patternFill>
          <bgColor rgb="FF2BCFD1"/>
        </patternFill>
      </fill>
    </dxf>
    <dxf>
      <font>
        <color rgb="FFF45E41"/>
      </font>
      <fill>
        <patternFill>
          <bgColor rgb="FFF45E41"/>
        </patternFill>
      </fill>
    </dxf>
    <dxf>
      <font>
        <color rgb="FFD8B545"/>
      </font>
      <fill>
        <patternFill>
          <bgColor rgb="FFD8B545"/>
        </patternFill>
      </fill>
    </dxf>
    <dxf>
      <font>
        <color rgb="FF6ABC4A"/>
      </font>
      <fill>
        <patternFill>
          <bgColor rgb="FF6ABC4A"/>
        </patternFill>
      </fill>
    </dxf>
    <dxf>
      <font>
        <color theme="1"/>
      </font>
      <fill>
        <patternFill>
          <bgColor theme="0" tint="-0.24994659260841701"/>
        </patternFill>
      </fill>
      <border>
        <left style="thin">
          <color auto="1"/>
        </left>
        <right style="thin">
          <color auto="1"/>
        </right>
        <top style="thin">
          <color auto="1"/>
        </top>
        <bottom style="thin">
          <color auto="1"/>
        </bottom>
        <vertical/>
        <horizontal/>
      </border>
    </dxf>
    <dxf>
      <numFmt numFmtId="165" formatCode=";;;"/>
    </dxf>
    <dxf>
      <font>
        <color rgb="FFFF0000"/>
      </font>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b/>
        <i val="0"/>
        <color theme="1"/>
      </font>
      <fill>
        <patternFill>
          <bgColor rgb="FFBEBBF8"/>
        </patternFill>
      </fill>
    </dxf>
    <dxf>
      <font>
        <b/>
        <i val="0"/>
        <color theme="1"/>
      </font>
      <fill>
        <patternFill>
          <bgColor theme="0" tint="-0.14996795556505021"/>
        </patternFill>
      </fill>
    </dxf>
    <dxf>
      <font>
        <b/>
        <i val="0"/>
        <color theme="1"/>
      </font>
      <fill>
        <patternFill>
          <bgColor theme="0"/>
        </patternFill>
      </fill>
      <border>
        <left style="thin">
          <color auto="1"/>
        </left>
        <right/>
        <top style="thin">
          <color auto="1"/>
        </top>
        <bottom/>
      </border>
    </dxf>
    <dxf>
      <font>
        <color theme="1"/>
      </font>
      <fill>
        <patternFill>
          <bgColor theme="0"/>
        </patternFill>
      </fill>
      <border>
        <left style="thin">
          <color auto="1"/>
        </left>
        <right/>
        <top style="thin">
          <color auto="1"/>
        </top>
        <bottom/>
      </border>
    </dxf>
    <dxf>
      <font>
        <color theme="1"/>
      </font>
      <fill>
        <patternFill>
          <bgColor theme="0"/>
        </patternFill>
      </fill>
      <border>
        <left style="thin">
          <color auto="1"/>
        </left>
        <right/>
        <top/>
        <bottom style="thin">
          <color auto="1"/>
        </bottom>
      </border>
    </dxf>
    <dxf>
      <font>
        <color theme="1"/>
      </font>
      <fill>
        <patternFill>
          <bgColor theme="0"/>
        </patternFill>
      </fill>
      <border>
        <left/>
        <right style="thin">
          <color auto="1"/>
        </right>
        <top style="thin">
          <color auto="1"/>
        </top>
        <bottom/>
      </border>
    </dxf>
    <dxf>
      <font>
        <color theme="1"/>
      </font>
      <fill>
        <patternFill>
          <bgColor theme="0"/>
        </patternFill>
      </fill>
      <border>
        <left/>
        <right style="thin">
          <color auto="1"/>
        </right>
        <top/>
        <bottom style="thin">
          <color auto="1"/>
        </bottom>
      </border>
    </dxf>
    <dxf>
      <font>
        <b/>
        <i val="0"/>
        <color theme="1"/>
      </font>
      <fill>
        <patternFill>
          <bgColor rgb="FF2AA6CC"/>
        </patternFill>
      </fill>
      <border>
        <left/>
        <right/>
        <top style="thin">
          <color auto="1"/>
        </top>
        <bottom style="thin">
          <color auto="1"/>
        </bottom>
        <vertical/>
        <horizontal/>
      </border>
    </dxf>
    <dxf>
      <font>
        <b/>
        <i val="0"/>
        <color theme="1"/>
      </font>
      <fill>
        <patternFill>
          <bgColor rgb="FFA8C46A"/>
        </patternFill>
      </fill>
      <border>
        <left/>
        <right/>
        <top style="thin">
          <color auto="1"/>
        </top>
        <bottom style="thin">
          <color auto="1"/>
        </bottom>
        <vertical/>
        <horizontal/>
      </border>
    </dxf>
    <dxf>
      <font>
        <b/>
        <i val="0"/>
        <color theme="0"/>
      </font>
      <fill>
        <patternFill>
          <bgColor rgb="FF009193"/>
        </patternFill>
      </fill>
      <border>
        <left/>
        <right/>
        <top style="thin">
          <color auto="1"/>
        </top>
        <bottom style="thin">
          <color auto="1"/>
        </bottom>
        <vertical/>
        <horizontal/>
      </border>
    </dxf>
    <dxf>
      <font>
        <b/>
        <i val="0"/>
        <color theme="1"/>
      </font>
      <fill>
        <patternFill>
          <bgColor rgb="FF2BCFD1"/>
        </patternFill>
      </fill>
      <border>
        <left/>
        <right/>
        <top style="thin">
          <color auto="1"/>
        </top>
        <bottom style="thin">
          <color auto="1"/>
        </bottom>
        <vertical/>
        <horizontal/>
      </border>
    </dxf>
    <dxf>
      <font>
        <b/>
        <i val="0"/>
        <color theme="1"/>
      </font>
      <fill>
        <patternFill>
          <bgColor rgb="FFF69871"/>
        </patternFill>
      </fill>
      <border>
        <left/>
        <right/>
        <top style="thin">
          <color auto="1"/>
        </top>
        <bottom style="thin">
          <color auto="1"/>
        </bottom>
        <vertical/>
        <horizontal/>
      </border>
    </dxf>
    <dxf>
      <font>
        <color theme="1"/>
      </font>
      <fill>
        <patternFill>
          <bgColor theme="0"/>
        </patternFill>
      </fill>
      <border>
        <left style="thin">
          <color auto="1"/>
        </left>
        <right style="thin">
          <color auto="1"/>
        </right>
        <top style="thin">
          <color auto="1"/>
        </top>
        <bottom style="thin">
          <color auto="1"/>
        </bottom>
        <vertical/>
        <horizontal/>
      </border>
    </dxf>
    <dxf>
      <font>
        <b/>
        <i val="0"/>
        <color theme="1"/>
      </font>
      <fill>
        <patternFill>
          <bgColor rgb="FFD8B545"/>
        </patternFill>
      </fill>
      <border>
        <left/>
        <right/>
        <top style="thin">
          <color auto="1"/>
        </top>
        <bottom style="thin">
          <color auto="1"/>
        </bottom>
        <vertical/>
        <horizontal/>
      </border>
    </dxf>
    <dxf>
      <font>
        <b/>
        <i val="0"/>
        <color theme="1"/>
      </font>
      <fill>
        <patternFill>
          <bgColor theme="0" tint="-0.14996795556505021"/>
        </patternFill>
      </fill>
      <border>
        <left/>
        <right/>
        <top style="thin">
          <color auto="1"/>
        </top>
        <bottom style="thin">
          <color auto="1"/>
        </bottom>
        <vertical/>
        <horizontal/>
      </border>
    </dxf>
    <dxf>
      <font>
        <b/>
        <i val="0"/>
        <color theme="1"/>
      </font>
      <fill>
        <patternFill>
          <bgColor rgb="FFFC8EB5"/>
        </patternFill>
      </fill>
      <border>
        <left/>
        <right/>
        <top style="thin">
          <color auto="1"/>
        </top>
        <bottom style="thin">
          <color auto="1"/>
        </bottom>
        <vertical/>
        <horizontal/>
      </border>
    </dxf>
    <dxf>
      <font>
        <b/>
        <i val="0"/>
        <color theme="0"/>
      </font>
      <fill>
        <patternFill>
          <bgColor rgb="FF595959"/>
        </patternFill>
      </fill>
      <border>
        <left/>
        <right/>
        <top style="thin">
          <color auto="1"/>
        </top>
        <bottom style="thin">
          <color auto="1"/>
        </bottom>
        <vertical/>
        <horizontal/>
      </border>
    </dxf>
    <dxf>
      <font>
        <b/>
        <i val="0"/>
        <color theme="0"/>
      </font>
      <fill>
        <patternFill>
          <bgColor rgb="FFF03A63"/>
        </patternFill>
      </fill>
      <border>
        <left/>
        <right/>
        <top style="thin">
          <color auto="1"/>
        </top>
        <bottom style="thin">
          <color auto="1"/>
        </bottom>
        <vertical/>
        <horizontal/>
      </border>
    </dxf>
    <dxf>
      <font>
        <b/>
        <i val="0"/>
        <color theme="0"/>
      </font>
      <fill>
        <patternFill>
          <bgColor rgb="FFEC3650"/>
        </patternFill>
      </fill>
      <border>
        <left/>
        <right/>
        <top style="thin">
          <color auto="1"/>
        </top>
        <bottom style="thin">
          <color auto="1"/>
        </bottom>
        <vertical/>
        <horizontal/>
      </border>
    </dxf>
    <dxf>
      <font>
        <b/>
        <i val="0"/>
        <color theme="1"/>
      </font>
      <fill>
        <patternFill>
          <bgColor rgb="FFE794C8"/>
        </patternFill>
      </fill>
      <border>
        <left/>
        <right/>
        <top style="thin">
          <color auto="1"/>
        </top>
        <bottom style="thin">
          <color auto="1"/>
        </bottom>
        <vertical/>
        <horizontal/>
      </border>
    </dxf>
    <dxf>
      <font>
        <b/>
        <i val="0"/>
        <color theme="0"/>
      </font>
      <fill>
        <patternFill>
          <bgColor rgb="FF3981C7"/>
        </patternFill>
      </fill>
      <border>
        <left/>
        <right/>
        <top style="thin">
          <color auto="1"/>
        </top>
        <bottom style="thin">
          <color auto="1"/>
        </bottom>
        <vertical/>
        <horizontal/>
      </border>
    </dxf>
    <dxf>
      <font>
        <b/>
        <i val="0"/>
        <color theme="1"/>
      </font>
      <fill>
        <patternFill>
          <bgColor rgb="FFCBA1DA"/>
        </patternFill>
      </fill>
      <border>
        <left/>
        <right/>
        <top style="thin">
          <color auto="1"/>
        </top>
        <bottom style="thin">
          <color auto="1"/>
        </bottom>
        <vertical/>
        <horizontal/>
      </border>
    </dxf>
    <dxf>
      <font>
        <b/>
        <i val="0"/>
        <color theme="1"/>
      </font>
      <fill>
        <patternFill>
          <bgColor rgb="FFF45E41"/>
        </patternFill>
      </fill>
      <border>
        <left/>
        <right/>
        <top style="thin">
          <color auto="1"/>
        </top>
        <bottom style="thin">
          <color auto="1"/>
        </bottom>
        <vertical/>
        <horizontal/>
      </border>
    </dxf>
    <dxf>
      <font>
        <b/>
        <i val="0"/>
        <color theme="1"/>
      </font>
      <fill>
        <patternFill>
          <bgColor rgb="FFFF7CA9"/>
        </patternFill>
      </fill>
      <border>
        <left/>
        <right/>
        <top style="thin">
          <color auto="1"/>
        </top>
        <bottom style="thin">
          <color auto="1"/>
        </bottom>
        <vertical/>
        <horizontal/>
      </border>
    </dxf>
    <dxf>
      <font>
        <b/>
        <i val="0"/>
        <color theme="1"/>
      </font>
      <fill>
        <patternFill>
          <bgColor rgb="FFFCBC18"/>
        </patternFill>
      </fill>
      <border>
        <left/>
        <right/>
        <top style="thin">
          <color auto="1"/>
        </top>
        <bottom style="thin">
          <color auto="1"/>
        </bottom>
        <vertical/>
        <horizontal/>
      </border>
    </dxf>
    <dxf>
      <font>
        <b/>
        <i val="0"/>
        <color theme="1"/>
      </font>
      <fill>
        <patternFill>
          <bgColor rgb="FF9877C2"/>
        </patternFill>
      </fill>
      <border>
        <left/>
        <right/>
        <top style="thin">
          <color auto="1"/>
        </top>
        <bottom style="thin">
          <color auto="1"/>
        </bottom>
        <vertical/>
        <horizontal/>
      </border>
    </dxf>
    <dxf>
      <font>
        <b/>
        <i val="0"/>
        <color theme="1"/>
      </font>
      <fill>
        <patternFill>
          <bgColor rgb="FF6ABC4A"/>
        </patternFill>
      </fill>
      <border>
        <left/>
        <right/>
        <top style="thin">
          <color auto="1"/>
        </top>
        <bottom style="thin">
          <color auto="1"/>
        </bottom>
        <vertical/>
        <horizontal/>
      </border>
    </dxf>
    <dxf>
      <font>
        <b/>
        <i val="0"/>
        <color theme="1"/>
      </font>
      <fill>
        <patternFill>
          <bgColor rgb="FFFFFF99"/>
        </patternFill>
      </fill>
      <border>
        <left/>
        <right/>
        <top style="thin">
          <color auto="1"/>
        </top>
        <bottom style="thin">
          <color auto="1"/>
        </bottom>
        <vertical/>
        <horizontal/>
      </border>
    </dxf>
    <dxf>
      <font>
        <b/>
        <i val="0"/>
        <color theme="1"/>
      </font>
      <fill>
        <patternFill>
          <bgColor rgb="FF00FB92"/>
        </patternFill>
      </fill>
      <border>
        <left/>
        <right/>
        <top style="thin">
          <color auto="1"/>
        </top>
        <bottom style="thin">
          <color auto="1"/>
        </bottom>
        <vertical/>
        <horizontal/>
      </border>
    </dxf>
    <dxf>
      <font>
        <b/>
        <i val="0"/>
        <color theme="1"/>
      </font>
      <fill>
        <patternFill>
          <bgColor rgb="FFFFD966"/>
        </patternFill>
      </fill>
      <border>
        <left/>
        <right/>
        <top style="thin">
          <color auto="1"/>
        </top>
        <bottom style="thin">
          <color auto="1"/>
        </bottom>
        <vertical/>
        <horizontal/>
      </border>
    </dxf>
    <dxf>
      <font>
        <b/>
        <i val="0"/>
        <color theme="0"/>
      </font>
      <fill>
        <patternFill>
          <bgColor rgb="FF5862B8"/>
        </patternFill>
      </fill>
      <border>
        <left/>
        <right/>
        <top style="thin">
          <color auto="1"/>
        </top>
        <bottom style="thin">
          <color auto="1"/>
        </bottom>
        <vertical/>
        <horizontal/>
      </border>
    </dxf>
    <dxf>
      <font>
        <b/>
        <i val="0"/>
        <color theme="1"/>
      </font>
      <fill>
        <patternFill>
          <bgColor rgb="FFF5B084"/>
        </patternFill>
      </fill>
      <border>
        <left/>
        <right/>
        <top style="thin">
          <color auto="1"/>
        </top>
        <bottom style="thin">
          <color auto="1"/>
        </bottom>
        <vertical/>
        <horizontal/>
      </border>
    </dxf>
    <dxf>
      <font>
        <b/>
        <i val="0"/>
        <color theme="1"/>
      </font>
      <fill>
        <patternFill>
          <bgColor rgb="FFF4448D"/>
        </patternFill>
      </fill>
      <border>
        <left/>
        <right/>
        <top style="thin">
          <color auto="1"/>
        </top>
        <bottom style="thin">
          <color auto="1"/>
        </bottom>
        <vertical/>
        <horizontal/>
      </border>
    </dxf>
    <dxf>
      <font>
        <b/>
        <i val="0"/>
        <color theme="0"/>
      </font>
      <fill>
        <patternFill>
          <bgColor rgb="FFA7499A"/>
        </patternFill>
      </fill>
      <border>
        <left/>
        <right/>
        <top style="thin">
          <color auto="1"/>
        </top>
        <bottom style="thin">
          <color auto="1"/>
        </bottom>
        <vertical/>
        <horizontal/>
      </border>
    </dxf>
    <dxf>
      <font>
        <b/>
        <i val="0"/>
        <color theme="0"/>
      </font>
      <fill>
        <patternFill>
          <bgColor theme="1"/>
        </patternFill>
      </fill>
      <border>
        <left/>
        <right/>
        <top style="thin">
          <color auto="1"/>
        </top>
        <bottom style="thin">
          <color auto="1"/>
        </bottom>
        <vertical/>
        <horizontal/>
      </border>
    </dxf>
    <dxf>
      <font>
        <b/>
        <i val="0"/>
        <color theme="0"/>
      </font>
      <fill>
        <patternFill>
          <bgColor rgb="FF005493"/>
        </patternFill>
      </fill>
      <border>
        <left/>
        <right/>
        <top style="thin">
          <color auto="1"/>
        </top>
        <bottom style="thin">
          <color auto="1"/>
        </bottom>
        <vertical/>
        <horizontal/>
      </border>
    </dxf>
    <dxf>
      <font>
        <b/>
        <i val="0"/>
        <color theme="1"/>
      </font>
      <fill>
        <patternFill>
          <bgColor rgb="FF76D7FF"/>
        </patternFill>
      </fill>
      <border>
        <left/>
        <right/>
        <top style="thin">
          <color auto="1"/>
        </top>
        <bottom style="thin">
          <color auto="1"/>
        </bottom>
        <vertical/>
        <horizontal/>
      </border>
    </dxf>
    <dxf>
      <font>
        <color rgb="FFA7499A"/>
      </font>
      <fill>
        <patternFill>
          <bgColor rgb="FFA7499A"/>
        </patternFill>
      </fill>
    </dxf>
    <dxf>
      <font>
        <color rgb="FFA7499A"/>
      </font>
      <fill>
        <patternFill>
          <bgColor rgb="FFA7499A"/>
        </patternFill>
      </fill>
    </dxf>
    <dxf>
      <font>
        <color rgb="FF2AA6CC"/>
      </font>
      <fill>
        <patternFill>
          <bgColor rgb="FF2AA6CC"/>
        </patternFill>
      </fill>
    </dxf>
    <dxf>
      <font>
        <color rgb="FFFFD966"/>
      </font>
      <fill>
        <patternFill>
          <bgColor rgb="FFFFD966"/>
        </patternFill>
      </fill>
    </dxf>
    <dxf>
      <font>
        <color theme="1"/>
      </font>
      <fill>
        <patternFill>
          <bgColor theme="1"/>
        </patternFill>
      </fill>
    </dxf>
    <dxf>
      <font>
        <color rgb="FFF5B084"/>
      </font>
      <fill>
        <patternFill>
          <bgColor rgb="FFF5B084"/>
        </patternFill>
      </fill>
    </dxf>
    <dxf>
      <font>
        <color rgb="FFF4448D"/>
      </font>
      <fill>
        <patternFill>
          <bgColor rgb="FFF4448D"/>
        </patternFill>
      </fill>
    </dxf>
    <dxf>
      <font>
        <color rgb="FFF5B084"/>
      </font>
      <fill>
        <patternFill>
          <bgColor rgb="FFF5B084"/>
        </patternFill>
      </fill>
    </dxf>
    <dxf>
      <font>
        <color rgb="FFF4448D"/>
      </font>
      <fill>
        <patternFill>
          <bgColor rgb="FFF4448D"/>
        </patternFill>
      </fill>
    </dxf>
    <dxf>
      <font>
        <color rgb="FFFFD966"/>
      </font>
      <fill>
        <patternFill>
          <bgColor rgb="FFFFD966"/>
        </patternFill>
      </fill>
    </dxf>
    <dxf>
      <font>
        <color theme="1"/>
      </font>
      <fill>
        <patternFill>
          <bgColor theme="1"/>
        </patternFill>
      </fill>
    </dxf>
    <dxf>
      <font>
        <color rgb="FFFFFF99"/>
      </font>
      <fill>
        <patternFill>
          <bgColor rgb="FFFFFF99"/>
        </patternFill>
      </fill>
    </dxf>
    <dxf>
      <font>
        <color rgb="FF5862B8"/>
      </font>
      <fill>
        <patternFill>
          <bgColor rgb="FF5862B8"/>
        </patternFill>
      </fill>
    </dxf>
    <dxf>
      <font>
        <color rgb="FFFFFF99"/>
      </font>
      <fill>
        <patternFill>
          <bgColor rgb="FFFFFF99"/>
        </patternFill>
      </fill>
    </dxf>
    <dxf>
      <font>
        <color rgb="FF5862B8"/>
      </font>
      <fill>
        <patternFill>
          <bgColor rgb="FF5862B8"/>
        </patternFill>
      </fill>
    </dxf>
    <dxf>
      <font>
        <color rgb="FFFF7CA9"/>
      </font>
      <fill>
        <patternFill>
          <bgColor rgb="FFFF7CA9"/>
        </patternFill>
      </fill>
    </dxf>
    <dxf>
      <font>
        <color rgb="FF00FB92"/>
      </font>
      <fill>
        <patternFill>
          <bgColor rgb="FF00FB92"/>
        </patternFill>
      </fill>
    </dxf>
    <dxf>
      <font>
        <color rgb="FF9877C2"/>
      </font>
      <fill>
        <patternFill>
          <bgColor rgb="FF9877C2"/>
        </patternFill>
      </fill>
    </dxf>
    <dxf>
      <font>
        <color rgb="FF6ABC4A"/>
      </font>
      <fill>
        <patternFill>
          <bgColor rgb="FF6ABC4A"/>
        </patternFill>
      </fill>
    </dxf>
    <dxf>
      <font>
        <color rgb="FF9877C2"/>
      </font>
      <fill>
        <patternFill>
          <bgColor rgb="FF9877C2"/>
        </patternFill>
      </fill>
    </dxf>
    <dxf>
      <font>
        <color theme="0"/>
      </font>
      <fill>
        <patternFill>
          <bgColor theme="0"/>
        </patternFill>
      </fill>
      <border>
        <left/>
        <right/>
        <top/>
        <bottom/>
        <vertical/>
        <horizontal/>
      </border>
    </dxf>
    <dxf>
      <font>
        <color rgb="FFFF7CA9"/>
      </font>
      <fill>
        <patternFill>
          <bgColor rgb="FFFF7CA9"/>
        </patternFill>
      </fill>
    </dxf>
    <dxf>
      <font>
        <color rgb="FF00FB92"/>
      </font>
      <fill>
        <patternFill>
          <bgColor rgb="FF00FB92"/>
        </patternFill>
      </fill>
    </dxf>
    <dxf>
      <font>
        <color rgb="FFCBA1DA"/>
      </font>
      <fill>
        <patternFill>
          <bgColor rgb="FFCBA1DA"/>
        </patternFill>
      </fill>
    </dxf>
    <dxf>
      <font>
        <color rgb="FFFCBC18"/>
      </font>
      <fill>
        <patternFill>
          <bgColor rgb="FFFCBC18"/>
        </patternFill>
      </fill>
    </dxf>
    <dxf>
      <font>
        <color rgb="FFCBA1DA"/>
      </font>
      <fill>
        <patternFill>
          <bgColor rgb="FFCBA1DA"/>
        </patternFill>
      </fill>
    </dxf>
    <dxf>
      <font>
        <color rgb="FFFCBC18"/>
      </font>
      <fill>
        <patternFill>
          <bgColor rgb="FFFCBC18"/>
        </patternFill>
      </fill>
    </dxf>
    <dxf>
      <font>
        <color rgb="FFF03A63"/>
      </font>
      <fill>
        <patternFill>
          <bgColor rgb="FFF03A63"/>
        </patternFill>
      </fill>
    </dxf>
    <dxf>
      <font>
        <color rgb="FFF45E41"/>
      </font>
      <fill>
        <patternFill>
          <bgColor rgb="FFF45E41"/>
        </patternFill>
      </fill>
    </dxf>
    <dxf>
      <font>
        <color rgb="FFE794C8"/>
      </font>
      <fill>
        <patternFill>
          <bgColor rgb="FFE794C8"/>
        </patternFill>
      </fill>
    </dxf>
    <dxf>
      <font>
        <color rgb="FF3981C7"/>
      </font>
      <fill>
        <patternFill>
          <bgColor rgb="FF3981C7"/>
        </patternFill>
      </fill>
    </dxf>
    <dxf>
      <font>
        <color rgb="FFE794C8"/>
      </font>
      <fill>
        <patternFill>
          <bgColor rgb="FFE794C8"/>
        </patternFill>
      </fill>
    </dxf>
    <dxf>
      <font>
        <color rgb="FF3981C7"/>
      </font>
      <fill>
        <patternFill>
          <bgColor rgb="FF3981C7"/>
        </patternFill>
      </fill>
    </dxf>
    <dxf>
      <font>
        <color rgb="FFF03A63"/>
      </font>
      <fill>
        <patternFill>
          <bgColor rgb="FFF03A63"/>
        </patternFill>
      </fill>
    </dxf>
    <dxf>
      <font>
        <color rgb="FFF45E41"/>
      </font>
      <fill>
        <patternFill>
          <bgColor rgb="FFF45E41"/>
        </patternFill>
      </fill>
    </dxf>
    <dxf>
      <font>
        <color rgb="FFFC8EB5"/>
      </font>
      <fill>
        <patternFill>
          <bgColor rgb="FFFC8EB5"/>
        </patternFill>
      </fill>
    </dxf>
    <dxf>
      <font>
        <color rgb="FFEC3650"/>
      </font>
      <fill>
        <patternFill>
          <bgColor rgb="FFEC3650"/>
        </patternFill>
      </fill>
    </dxf>
    <dxf>
      <font>
        <color rgb="FFFC8EB5"/>
      </font>
      <fill>
        <patternFill>
          <bgColor rgb="FFFC8EB5"/>
        </patternFill>
      </fill>
    </dxf>
    <dxf>
      <font>
        <color rgb="FFEC3650"/>
      </font>
      <fill>
        <patternFill>
          <bgColor rgb="FFEC3650"/>
        </patternFill>
      </fill>
    </dxf>
    <dxf>
      <font>
        <color rgb="FFF69871"/>
      </font>
      <fill>
        <patternFill>
          <bgColor rgb="FFF69871"/>
        </patternFill>
      </fill>
    </dxf>
    <dxf>
      <font>
        <color rgb="FF595959"/>
      </font>
      <fill>
        <patternFill>
          <bgColor rgb="FF595959"/>
        </patternFill>
      </fill>
    </dxf>
    <dxf>
      <font>
        <color rgb="FFD8B545"/>
      </font>
      <fill>
        <patternFill>
          <bgColor rgb="FFD8B545"/>
        </patternFill>
      </fill>
    </dxf>
    <dxf>
      <font>
        <color theme="0" tint="-0.14996795556505021"/>
      </font>
      <fill>
        <patternFill>
          <bgColor theme="0" tint="-0.14996795556505021"/>
        </patternFill>
      </fill>
    </dxf>
    <dxf>
      <font>
        <color rgb="FFD8B545"/>
      </font>
      <fill>
        <patternFill>
          <bgColor rgb="FFD8B545"/>
        </patternFill>
      </fill>
    </dxf>
    <dxf>
      <font>
        <color theme="0" tint="-0.14996795556505021"/>
      </font>
      <fill>
        <patternFill>
          <bgColor theme="0" tint="-0.14996795556505021"/>
        </patternFill>
      </fill>
    </dxf>
    <dxf>
      <font>
        <color rgb="FFF69871"/>
      </font>
      <fill>
        <patternFill>
          <bgColor rgb="FFF69871"/>
        </patternFill>
      </fill>
    </dxf>
    <dxf>
      <font>
        <color rgb="FF595959"/>
      </font>
      <fill>
        <patternFill>
          <bgColor rgb="FF595959"/>
        </patternFill>
      </fill>
    </dxf>
    <dxf>
      <font>
        <color rgb="FFA8C46A"/>
      </font>
      <fill>
        <patternFill>
          <bgColor rgb="FFA8C46A"/>
        </patternFill>
      </fill>
    </dxf>
    <dxf>
      <font>
        <color rgb="FF76D7FF"/>
      </font>
      <fill>
        <patternFill>
          <bgColor rgb="FF76D7FF"/>
        </patternFill>
      </fill>
    </dxf>
    <dxf>
      <font>
        <color rgb="FFA8C46A"/>
      </font>
      <fill>
        <patternFill>
          <bgColor rgb="FFA8C46A"/>
        </patternFill>
      </fill>
    </dxf>
    <dxf>
      <fill>
        <patternFill>
          <bgColor rgb="FFF2F2FF"/>
        </patternFill>
      </fill>
    </dxf>
    <dxf>
      <font>
        <color rgb="FF2BCFD1"/>
      </font>
      <fill>
        <patternFill>
          <bgColor rgb="FF2BCFD1"/>
        </patternFill>
      </fill>
    </dxf>
    <dxf>
      <fill>
        <patternFill>
          <bgColor rgb="FFF2F2FF"/>
        </patternFill>
      </fill>
    </dxf>
    <dxf>
      <font>
        <color rgb="FF005493"/>
      </font>
      <fill>
        <patternFill>
          <bgColor rgb="FF005493"/>
        </patternFill>
      </fill>
    </dxf>
    <dxf>
      <fill>
        <patternFill>
          <bgColor theme="0" tint="-4.9989318521683403E-2"/>
        </patternFill>
      </fill>
    </dxf>
    <dxf>
      <font>
        <color rgb="FF005493"/>
      </font>
      <fill>
        <patternFill>
          <bgColor rgb="FF005493"/>
        </patternFill>
      </fill>
    </dxf>
    <dxf>
      <fill>
        <patternFill>
          <bgColor theme="0" tint="-4.9989318521683403E-2"/>
        </patternFill>
      </fill>
    </dxf>
    <dxf>
      <font>
        <color rgb="FF76D7FF"/>
      </font>
      <fill>
        <patternFill>
          <bgColor rgb="FF76D7FF"/>
        </patternFill>
      </fill>
    </dxf>
    <dxf>
      <numFmt numFmtId="165" formatCode=";;;"/>
    </dxf>
    <dxf>
      <font>
        <color rgb="FF009193"/>
      </font>
      <fill>
        <patternFill>
          <bgColor rgb="FF009193"/>
        </patternFill>
      </fill>
    </dxf>
    <dxf>
      <font>
        <color rgb="FF2BCFD1"/>
      </font>
      <fill>
        <patternFill>
          <bgColor rgb="FF2BCFD1"/>
        </patternFill>
      </fill>
    </dxf>
    <dxf>
      <font>
        <color rgb="FF009193"/>
      </font>
      <fill>
        <patternFill>
          <bgColor rgb="FF009193"/>
        </patternFill>
      </fill>
    </dxf>
    <dxf>
      <font>
        <color rgb="FF2AA6CC"/>
      </font>
      <fill>
        <patternFill>
          <bgColor rgb="FF2AA6CC"/>
        </patternFill>
      </fill>
    </dxf>
    <dxf>
      <font>
        <color rgb="FF6ABC4A"/>
      </font>
      <fill>
        <patternFill>
          <bgColor rgb="FF6ABC4A"/>
        </patternFill>
      </fill>
    </dxf>
    <dxf>
      <font>
        <color theme="1"/>
      </font>
      <fill>
        <patternFill>
          <bgColor theme="0" tint="-0.24994659260841701"/>
        </patternFill>
      </fill>
      <border>
        <left style="thin">
          <color auto="1"/>
        </left>
        <right style="thin">
          <color auto="1"/>
        </right>
        <top style="thin">
          <color auto="1"/>
        </top>
        <bottom style="thin">
          <color auto="1"/>
        </bottom>
        <vertical/>
        <horizontal/>
      </border>
    </dxf>
    <dxf>
      <numFmt numFmtId="165" formatCode=";;;"/>
    </dxf>
    <dxf>
      <font>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theme="1"/>
      </font>
      <fill>
        <patternFill>
          <bgColor theme="0"/>
        </patternFill>
      </fill>
      <border>
        <left style="thin">
          <color auto="1"/>
        </left>
        <right/>
        <top style="thin">
          <color auto="1"/>
        </top>
        <bottom/>
      </border>
    </dxf>
    <dxf>
      <font>
        <color theme="1"/>
      </font>
      <fill>
        <patternFill>
          <bgColor theme="0"/>
        </patternFill>
      </fill>
      <border>
        <left style="thin">
          <color auto="1"/>
        </left>
        <right/>
        <top style="thin">
          <color auto="1"/>
        </top>
        <bottom/>
      </border>
    </dxf>
    <dxf>
      <font>
        <b/>
        <i val="0"/>
        <color theme="1"/>
      </font>
      <fill>
        <patternFill>
          <bgColor rgb="FFBEBBF8"/>
        </patternFill>
      </fill>
    </dxf>
    <dxf>
      <font>
        <color theme="1"/>
      </font>
      <fill>
        <patternFill>
          <bgColor theme="0"/>
        </patternFill>
      </fill>
      <border>
        <left style="thin">
          <color auto="1"/>
        </left>
        <right/>
        <top/>
        <bottom style="thin">
          <color auto="1"/>
        </bottom>
      </border>
    </dxf>
    <dxf>
      <font>
        <b/>
        <i val="0"/>
        <color theme="1"/>
      </font>
      <fill>
        <patternFill>
          <bgColor theme="0" tint="-0.14996795556505021"/>
        </patternFill>
      </fill>
    </dxf>
  </dxfs>
  <tableStyles count="0" defaultTableStyle="TableStyleMedium2" defaultPivotStyle="PivotStyleLight16"/>
  <colors>
    <mruColors>
      <color rgb="FFF9B7C7"/>
      <color rgb="FFC0F0E2"/>
      <color rgb="FFCCFFFF"/>
      <color rgb="FF2F75B5"/>
      <color rgb="FF236094"/>
      <color rgb="FF73FC79"/>
      <color rgb="FF00FA00"/>
      <color rgb="FFA3D7EF"/>
      <color rgb="FFFF7CA9"/>
      <color rgb="FFFF2F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hyperlink" Target="http://www.google.com/" TargetMode="External"/><Relationship Id="rId1" Type="http://schemas.openxmlformats.org/officeDocument/2006/relationships/hyperlink" Target="#Front!A1"/></Relationships>
</file>

<file path=xl/drawings/_rels/drawing2.xml.rels><?xml version="1.0" encoding="UTF-8" standalone="yes"?>
<Relationships xmlns="http://schemas.openxmlformats.org/package/2006/relationships"><Relationship Id="rId3" Type="http://schemas.openxmlformats.org/officeDocument/2006/relationships/hyperlink" Target="http://www.tinysaurus.co.nz/" TargetMode="External"/><Relationship Id="rId2" Type="http://schemas.openxmlformats.org/officeDocument/2006/relationships/image" Target="../media/image1.jpg"/><Relationship Id="rId1" Type="http://schemas.openxmlformats.org/officeDocument/2006/relationships/hyperlink" Target="#'Resus Sheet'!A1"/><Relationship Id="rId5" Type="http://schemas.openxmlformats.org/officeDocument/2006/relationships/hyperlink" Target="#Admin!A1"/><Relationship Id="rId4" Type="http://schemas.openxmlformats.org/officeDocument/2006/relationships/hyperlink" Target="#'Terms of use'!A1"/></Relationships>
</file>

<file path=xl/drawings/_rels/drawing3.xml.rels><?xml version="1.0" encoding="UTF-8" standalone="yes"?>
<Relationships xmlns="http://schemas.openxmlformats.org/package/2006/relationships"><Relationship Id="rId1" Type="http://schemas.openxmlformats.org/officeDocument/2006/relationships/hyperlink" Target="#Front!A1"/></Relationships>
</file>

<file path=xl/drawings/_rels/drawing4.xml.rels><?xml version="1.0" encoding="UTF-8" standalone="yes"?>
<Relationships xmlns="http://schemas.openxmlformats.org/package/2006/relationships"><Relationship Id="rId2" Type="http://schemas.openxmlformats.org/officeDocument/2006/relationships/hyperlink" Target="#Front!A1"/><Relationship Id="rId1" Type="http://schemas.openxmlformats.org/officeDocument/2006/relationships/hyperlink" Target="#'Resus Sheet'!A1"/></Relationships>
</file>

<file path=xl/drawings/drawing1.xml><?xml version="1.0" encoding="utf-8"?>
<xdr:wsDr xmlns:xdr="http://schemas.openxmlformats.org/drawingml/2006/spreadsheetDrawing" xmlns:a="http://schemas.openxmlformats.org/drawingml/2006/main">
  <xdr:twoCellAnchor>
    <xdr:from>
      <xdr:col>15</xdr:col>
      <xdr:colOff>139700</xdr:colOff>
      <xdr:row>48</xdr:row>
      <xdr:rowOff>0</xdr:rowOff>
    </xdr:from>
    <xdr:to>
      <xdr:col>21</xdr:col>
      <xdr:colOff>98057</xdr:colOff>
      <xdr:row>50</xdr:row>
      <xdr:rowOff>120836</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8BA61385-5F09-E94D-8086-525A0EA959CC}"/>
            </a:ext>
          </a:extLst>
        </xdr:cNvPr>
        <xdr:cNvSpPr/>
      </xdr:nvSpPr>
      <xdr:spPr>
        <a:xfrm>
          <a:off x="5473700" y="9855200"/>
          <a:ext cx="2091957" cy="5526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Accept</a:t>
          </a:r>
          <a:r>
            <a:rPr lang="en-GB" sz="1200" b="0" baseline="0">
              <a:ln>
                <a:noFill/>
              </a:ln>
              <a:solidFill>
                <a:sysClr val="windowText" lastClr="000000"/>
              </a:solidFill>
              <a:latin typeface="Arial" panose="020B0604020202020204" pitchFamily="34" charset="0"/>
              <a:cs typeface="Arial" panose="020B0604020202020204" pitchFamily="34" charset="0"/>
            </a:rPr>
            <a:t> and go to</a:t>
          </a:r>
          <a:br>
            <a:rPr lang="en-GB" sz="1200" b="0" baseline="0">
              <a:ln>
                <a:noFill/>
              </a:ln>
              <a:solidFill>
                <a:sysClr val="windowText" lastClr="000000"/>
              </a:solidFill>
              <a:latin typeface="Arial" panose="020B0604020202020204" pitchFamily="34" charset="0"/>
              <a:cs typeface="Arial" panose="020B0604020202020204" pitchFamily="34" charset="0"/>
            </a:rPr>
          </a:br>
          <a:r>
            <a:rPr lang="en-GB" sz="1200" b="0" baseline="0">
              <a:ln>
                <a:noFill/>
              </a:ln>
              <a:solidFill>
                <a:sysClr val="windowText" lastClr="000000"/>
              </a:solidFill>
              <a:latin typeface="Arial" panose="020B0604020202020204" pitchFamily="34" charset="0"/>
              <a:cs typeface="Arial" panose="020B0604020202020204" pitchFamily="34" charset="0"/>
            </a:rPr>
            <a:t>calculator</a:t>
          </a:r>
          <a:endParaRPr lang="en-GB" sz="1200" b="0">
            <a:ln>
              <a:noFill/>
            </a:ln>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8</xdr:col>
      <xdr:colOff>228600</xdr:colOff>
      <xdr:row>48</xdr:row>
      <xdr:rowOff>0</xdr:rowOff>
    </xdr:from>
    <xdr:to>
      <xdr:col>14</xdr:col>
      <xdr:colOff>186957</xdr:colOff>
      <xdr:row>50</xdr:row>
      <xdr:rowOff>120836</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45EBCDDF-ADE3-294B-9BEE-FCF5BB4A0226}"/>
            </a:ext>
          </a:extLst>
        </xdr:cNvPr>
        <xdr:cNvSpPr/>
      </xdr:nvSpPr>
      <xdr:spPr>
        <a:xfrm>
          <a:off x="3073400" y="9855200"/>
          <a:ext cx="2091957" cy="5526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Decline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1113366</xdr:colOff>
      <xdr:row>16</xdr:row>
      <xdr:rowOff>43372</xdr:rowOff>
    </xdr:from>
    <xdr:to>
      <xdr:col>9</xdr:col>
      <xdr:colOff>33145</xdr:colOff>
      <xdr:row>17</xdr:row>
      <xdr:rowOff>207953</xdr:rowOff>
    </xdr:to>
    <xdr:sp macro="" textlink="'Weight Estimations'!D24">
      <xdr:nvSpPr>
        <xdr:cNvPr id="2" name="Rectangle 1">
          <a:hlinkClick xmlns:r="http://schemas.openxmlformats.org/officeDocument/2006/relationships" r:id="rId1"/>
          <a:extLst>
            <a:ext uri="{FF2B5EF4-FFF2-40B4-BE49-F238E27FC236}">
              <a16:creationId xmlns:a16="http://schemas.microsoft.com/office/drawing/2014/main" id="{6735D8EC-FB8D-C7D2-52E0-EA16F91B5945}"/>
            </a:ext>
          </a:extLst>
        </xdr:cNvPr>
        <xdr:cNvSpPr/>
      </xdr:nvSpPr>
      <xdr:spPr>
        <a:xfrm>
          <a:off x="2789766" y="6748972"/>
          <a:ext cx="2094779" cy="545581"/>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fld id="{4F943FE3-318A-0845-9D75-9DC47ECCCF3C}" type="TxLink">
            <a:rPr lang="en-US" sz="1200" b="0" i="0" u="none" strike="noStrike">
              <a:ln>
                <a:noFill/>
              </a:ln>
              <a:solidFill>
                <a:srgbClr val="000000"/>
              </a:solidFill>
              <a:latin typeface="Arial" panose="020B0604020202020204" pitchFamily="34" charset="0"/>
              <a:cs typeface="Arial" panose="020B0604020202020204" pitchFamily="34" charset="0"/>
            </a:rPr>
            <a:pPr algn="ctr"/>
            <a:t>Go!</a:t>
          </a:fld>
          <a:endParaRPr lang="en-GB" sz="1400" b="0">
            <a:ln>
              <a:noFill/>
            </a:ln>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3</xdr:col>
      <xdr:colOff>190501</xdr:colOff>
      <xdr:row>4</xdr:row>
      <xdr:rowOff>215899</xdr:rowOff>
    </xdr:from>
    <xdr:to>
      <xdr:col>6</xdr:col>
      <xdr:colOff>530771</xdr:colOff>
      <xdr:row>4</xdr:row>
      <xdr:rowOff>2108200</xdr:rowOff>
    </xdr:to>
    <xdr:pic>
      <xdr:nvPicPr>
        <xdr:cNvPr id="4" name="Picture 3">
          <a:extLst>
            <a:ext uri="{FF2B5EF4-FFF2-40B4-BE49-F238E27FC236}">
              <a16:creationId xmlns:a16="http://schemas.microsoft.com/office/drawing/2014/main" id="{27EA690C-A90F-5DD4-9671-4362D6F8F96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866901" y="1333499"/>
          <a:ext cx="2130970" cy="1892301"/>
        </a:xfrm>
        <a:prstGeom prst="rect">
          <a:avLst/>
        </a:prstGeom>
      </xdr:spPr>
    </xdr:pic>
    <xdr:clientData/>
  </xdr:twoCellAnchor>
  <xdr:twoCellAnchor>
    <xdr:from>
      <xdr:col>1</xdr:col>
      <xdr:colOff>4536</xdr:colOff>
      <xdr:row>1</xdr:row>
      <xdr:rowOff>6406</xdr:rowOff>
    </xdr:from>
    <xdr:to>
      <xdr:col>3</xdr:col>
      <xdr:colOff>0</xdr:colOff>
      <xdr:row>2</xdr:row>
      <xdr:rowOff>1870</xdr:rowOff>
    </xdr:to>
    <xdr:sp macro="" textlink="">
      <xdr:nvSpPr>
        <xdr:cNvPr id="3" name="Rectangle 2">
          <a:hlinkClick xmlns:r="http://schemas.openxmlformats.org/officeDocument/2006/relationships" r:id="rId3"/>
          <a:extLst>
            <a:ext uri="{FF2B5EF4-FFF2-40B4-BE49-F238E27FC236}">
              <a16:creationId xmlns:a16="http://schemas.microsoft.com/office/drawing/2014/main" id="{A503BCF3-82DE-384B-651C-045F4FAD6C7C}"/>
            </a:ext>
          </a:extLst>
        </xdr:cNvPr>
        <xdr:cNvSpPr/>
      </xdr:nvSpPr>
      <xdr:spPr>
        <a:xfrm>
          <a:off x="281627" y="196906"/>
          <a:ext cx="1392464" cy="503464"/>
        </a:xfrm>
        <a:prstGeom prst="rect">
          <a:avLst/>
        </a:prstGeom>
        <a:solidFill>
          <a:srgbClr val="236094"/>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000">
              <a:solidFill>
                <a:schemeClr val="bg1"/>
              </a:solidFill>
              <a:latin typeface="Arial" panose="020B0604020202020204" pitchFamily="34" charset="0"/>
              <a:cs typeface="Arial" panose="020B0604020202020204" pitchFamily="34" charset="0"/>
            </a:rPr>
            <a:t>Contact at</a:t>
          </a:r>
        </a:p>
        <a:p>
          <a:pPr algn="ctr"/>
          <a:r>
            <a:rPr lang="en-GB" sz="1000">
              <a:solidFill>
                <a:schemeClr val="bg1"/>
              </a:solidFill>
              <a:latin typeface="Arial" panose="020B0604020202020204" pitchFamily="34" charset="0"/>
              <a:cs typeface="Arial" panose="020B0604020202020204" pitchFamily="34" charset="0"/>
            </a:rPr>
            <a:t>Tinysaurus.co.nz</a:t>
          </a:r>
        </a:p>
      </xdr:txBody>
    </xdr:sp>
    <xdr:clientData/>
  </xdr:twoCellAnchor>
  <xdr:twoCellAnchor>
    <xdr:from>
      <xdr:col>2</xdr:col>
      <xdr:colOff>698499</xdr:colOff>
      <xdr:row>1</xdr:row>
      <xdr:rowOff>6406</xdr:rowOff>
    </xdr:from>
    <xdr:to>
      <xdr:col>7</xdr:col>
      <xdr:colOff>0</xdr:colOff>
      <xdr:row>2</xdr:row>
      <xdr:rowOff>1870</xdr:rowOff>
    </xdr:to>
    <xdr:sp macro="" textlink="">
      <xdr:nvSpPr>
        <xdr:cNvPr id="5" name="Rectangle 4">
          <a:hlinkClick xmlns:r="http://schemas.openxmlformats.org/officeDocument/2006/relationships" r:id="rId4"/>
          <a:extLst>
            <a:ext uri="{FF2B5EF4-FFF2-40B4-BE49-F238E27FC236}">
              <a16:creationId xmlns:a16="http://schemas.microsoft.com/office/drawing/2014/main" id="{E62F0A94-C38C-4A43-89DF-3BC50A1A42BE}"/>
            </a:ext>
          </a:extLst>
        </xdr:cNvPr>
        <xdr:cNvSpPr/>
      </xdr:nvSpPr>
      <xdr:spPr>
        <a:xfrm>
          <a:off x="1674090" y="196906"/>
          <a:ext cx="2482274" cy="503464"/>
        </a:xfrm>
        <a:prstGeom prst="rect">
          <a:avLst/>
        </a:prstGeom>
        <a:solidFill>
          <a:srgbClr val="2F75B5"/>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000">
              <a:solidFill>
                <a:schemeClr val="bg1"/>
              </a:solidFill>
              <a:latin typeface="Arial" panose="020B0604020202020204" pitchFamily="34" charset="0"/>
              <a:cs typeface="Arial" panose="020B0604020202020204" pitchFamily="34" charset="0"/>
            </a:rPr>
            <a:t>You must accept terms and conditions</a:t>
          </a:r>
        </a:p>
        <a:p>
          <a:pPr algn="ctr"/>
          <a:r>
            <a:rPr lang="en-GB" sz="1000">
              <a:solidFill>
                <a:schemeClr val="bg1"/>
              </a:solidFill>
              <a:latin typeface="Arial" panose="020B0604020202020204" pitchFamily="34" charset="0"/>
              <a:cs typeface="Arial" panose="020B0604020202020204" pitchFamily="34" charset="0"/>
            </a:rPr>
            <a:t>before use. Click here</a:t>
          </a:r>
        </a:p>
      </xdr:txBody>
    </xdr:sp>
    <xdr:clientData/>
  </xdr:twoCellAnchor>
  <xdr:twoCellAnchor>
    <xdr:from>
      <xdr:col>6</xdr:col>
      <xdr:colOff>687916</xdr:colOff>
      <xdr:row>1</xdr:row>
      <xdr:rowOff>6406</xdr:rowOff>
    </xdr:from>
    <xdr:to>
      <xdr:col>10</xdr:col>
      <xdr:colOff>3400</xdr:colOff>
      <xdr:row>2</xdr:row>
      <xdr:rowOff>2405</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BEB7DBBE-20D2-1643-940A-FD5994C83418}"/>
            </a:ext>
          </a:extLst>
        </xdr:cNvPr>
        <xdr:cNvSpPr/>
      </xdr:nvSpPr>
      <xdr:spPr>
        <a:xfrm>
          <a:off x="4153958" y="196906"/>
          <a:ext cx="1400400" cy="503999"/>
        </a:xfrm>
        <a:prstGeom prst="rect">
          <a:avLst/>
        </a:prstGeom>
        <a:solidFill>
          <a:srgbClr val="236094"/>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000">
              <a:solidFill>
                <a:schemeClr val="bg1"/>
              </a:solidFill>
              <a:latin typeface="Arial" panose="020B0604020202020204" pitchFamily="34" charset="0"/>
              <a:cs typeface="Arial" panose="020B0604020202020204" pitchFamily="34" charset="0"/>
            </a:rPr>
            <a:t>Go to admin page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41</xdr:col>
      <xdr:colOff>46181</xdr:colOff>
      <xdr:row>59</xdr:row>
      <xdr:rowOff>138545</xdr:rowOff>
    </xdr:from>
    <xdr:to>
      <xdr:col>46</xdr:col>
      <xdr:colOff>348593</xdr:colOff>
      <xdr:row>63</xdr:row>
      <xdr:rowOff>44635</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A79DC1D7-6A8E-304E-B74E-D00021723561}"/>
            </a:ext>
          </a:extLst>
        </xdr:cNvPr>
        <xdr:cNvSpPr/>
      </xdr:nvSpPr>
      <xdr:spPr>
        <a:xfrm>
          <a:off x="14420272" y="11799454"/>
          <a:ext cx="2091957" cy="5526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Go back to calculator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304800</xdr:colOff>
      <xdr:row>68</xdr:row>
      <xdr:rowOff>31750</xdr:rowOff>
    </xdr:from>
    <xdr:to>
      <xdr:col>25</xdr:col>
      <xdr:colOff>301257</xdr:colOff>
      <xdr:row>72</xdr:row>
      <xdr:rowOff>25586</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C9DF2EC7-B95D-2542-A2F7-BB7450395ECF}"/>
            </a:ext>
          </a:extLst>
        </xdr:cNvPr>
        <xdr:cNvSpPr/>
      </xdr:nvSpPr>
      <xdr:spPr>
        <a:xfrm>
          <a:off x="6705600" y="12414250"/>
          <a:ext cx="2485657" cy="6415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Go </a:t>
          </a:r>
          <a:r>
            <a:rPr lang="en-GB" sz="1200" b="0" baseline="0">
              <a:ln>
                <a:noFill/>
              </a:ln>
              <a:solidFill>
                <a:sysClr val="windowText" lastClr="000000"/>
              </a:solidFill>
              <a:latin typeface="Arial" panose="020B0604020202020204" pitchFamily="34" charset="0"/>
              <a:cs typeface="Arial" panose="020B0604020202020204" pitchFamily="34" charset="0"/>
            </a:rPr>
            <a:t>to resus sheet</a:t>
          </a:r>
        </a:p>
      </xdr:txBody>
    </xdr:sp>
    <xdr:clientData/>
  </xdr:twoCellAnchor>
  <xdr:twoCellAnchor>
    <xdr:from>
      <xdr:col>11</xdr:col>
      <xdr:colOff>190500</xdr:colOff>
      <xdr:row>68</xdr:row>
      <xdr:rowOff>31750</xdr:rowOff>
    </xdr:from>
    <xdr:to>
      <xdr:col>18</xdr:col>
      <xdr:colOff>186957</xdr:colOff>
      <xdr:row>72</xdr:row>
      <xdr:rowOff>25586</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E63D4250-1E6B-4341-BAFB-376B956A942C}"/>
            </a:ext>
          </a:extLst>
        </xdr:cNvPr>
        <xdr:cNvSpPr/>
      </xdr:nvSpPr>
      <xdr:spPr>
        <a:xfrm>
          <a:off x="4102100" y="12414250"/>
          <a:ext cx="2485657" cy="6415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Go to front</a:t>
          </a:r>
          <a:r>
            <a:rPr lang="en-GB" sz="1200" b="0" baseline="0">
              <a:ln>
                <a:noFill/>
              </a:ln>
              <a:solidFill>
                <a:sysClr val="windowText" lastClr="000000"/>
              </a:solidFill>
              <a:latin typeface="Arial" panose="020B0604020202020204" pitchFamily="34" charset="0"/>
              <a:cs typeface="Arial" panose="020B0604020202020204" pitchFamily="34" charset="0"/>
            </a:rPr>
            <a:t> calculator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D67FC-EE19-3D4F-A0F2-CB99DA7F2C97}">
  <sheetPr codeName="Sheet7"/>
  <dimension ref="B1:X54"/>
  <sheetViews>
    <sheetView showGridLines="0" showRowColHeaders="0" tabSelected="1" zoomScale="90" zoomScaleNormal="90" workbookViewId="0"/>
  </sheetViews>
  <sheetFormatPr baseColWidth="10" defaultColWidth="10.83203125" defaultRowHeight="15" x14ac:dyDescent="0.2"/>
  <cols>
    <col min="1" max="23" width="4.6640625" style="335" customWidth="1"/>
    <col min="24" max="24" width="2.6640625" style="335" customWidth="1"/>
    <col min="25" max="16384" width="10.83203125" style="335"/>
  </cols>
  <sheetData>
    <row r="1" spans="2:24" ht="15" customHeight="1" x14ac:dyDescent="0.2"/>
    <row r="2" spans="2:24" ht="15" customHeight="1" x14ac:dyDescent="0.2">
      <c r="B2" s="517"/>
      <c r="C2" s="518"/>
      <c r="D2" s="518"/>
      <c r="E2" s="518"/>
      <c r="F2" s="518"/>
      <c r="G2" s="518"/>
      <c r="H2" s="518"/>
      <c r="I2" s="518"/>
      <c r="J2" s="518"/>
      <c r="K2" s="518"/>
      <c r="L2" s="518"/>
      <c r="M2" s="518"/>
      <c r="N2" s="518"/>
      <c r="O2" s="518"/>
      <c r="P2" s="518"/>
      <c r="Q2" s="518"/>
      <c r="R2" s="518"/>
      <c r="S2" s="518"/>
      <c r="T2" s="518"/>
      <c r="U2" s="518"/>
      <c r="V2" s="518"/>
      <c r="W2" s="519"/>
      <c r="X2" s="693"/>
    </row>
    <row r="3" spans="2:24" ht="15" customHeight="1" x14ac:dyDescent="0.2">
      <c r="B3" s="520"/>
      <c r="C3" s="521"/>
      <c r="D3" s="521"/>
      <c r="E3" s="521"/>
      <c r="F3" s="521"/>
      <c r="G3" s="521"/>
      <c r="H3" s="521"/>
      <c r="I3" s="521"/>
      <c r="J3" s="521"/>
      <c r="K3" s="521"/>
      <c r="L3" s="521"/>
      <c r="M3" s="521"/>
      <c r="N3" s="521"/>
      <c r="O3" s="521"/>
      <c r="P3" s="521"/>
      <c r="Q3" s="521"/>
      <c r="R3" s="521"/>
      <c r="S3" s="521"/>
      <c r="T3" s="521"/>
      <c r="U3" s="521"/>
      <c r="V3" s="521"/>
      <c r="W3" s="522"/>
      <c r="X3" s="693"/>
    </row>
    <row r="4" spans="2:24" ht="30" customHeight="1" x14ac:dyDescent="0.2">
      <c r="B4" s="520"/>
      <c r="C4" s="689" t="s">
        <v>109</v>
      </c>
      <c r="D4" s="689"/>
      <c r="E4" s="689"/>
      <c r="F4" s="689"/>
      <c r="G4" s="689"/>
      <c r="H4" s="689"/>
      <c r="I4" s="689"/>
      <c r="J4" s="689"/>
      <c r="K4" s="689"/>
      <c r="L4" s="689"/>
      <c r="M4" s="689"/>
      <c r="N4" s="689"/>
      <c r="O4" s="689"/>
      <c r="P4" s="689"/>
      <c r="Q4" s="689"/>
      <c r="R4" s="689"/>
      <c r="S4" s="689"/>
      <c r="T4" s="689"/>
      <c r="U4" s="689"/>
      <c r="V4" s="689"/>
      <c r="W4" s="522"/>
      <c r="X4" s="693"/>
    </row>
    <row r="5" spans="2:24" ht="15" customHeight="1" x14ac:dyDescent="0.2">
      <c r="B5" s="520"/>
      <c r="C5" s="694"/>
      <c r="D5" s="694"/>
      <c r="E5" s="694"/>
      <c r="F5" s="694"/>
      <c r="G5" s="694"/>
      <c r="H5" s="694"/>
      <c r="I5" s="694"/>
      <c r="J5" s="694"/>
      <c r="K5" s="694"/>
      <c r="L5" s="694"/>
      <c r="M5" s="694"/>
      <c r="N5" s="694"/>
      <c r="O5" s="694"/>
      <c r="P5" s="694"/>
      <c r="Q5" s="694"/>
      <c r="R5" s="694"/>
      <c r="S5" s="694"/>
      <c r="T5" s="694"/>
      <c r="U5" s="694"/>
      <c r="V5" s="694"/>
      <c r="W5" s="522"/>
      <c r="X5" s="693"/>
    </row>
    <row r="6" spans="2:24" ht="30" customHeight="1" x14ac:dyDescent="0.2">
      <c r="B6" s="520"/>
      <c r="C6" s="691" t="s">
        <v>434</v>
      </c>
      <c r="D6" s="691"/>
      <c r="E6" s="691"/>
      <c r="F6" s="691"/>
      <c r="G6" s="691"/>
      <c r="H6" s="691"/>
      <c r="I6" s="691"/>
      <c r="J6" s="691"/>
      <c r="K6" s="691"/>
      <c r="L6" s="691"/>
      <c r="M6" s="691"/>
      <c r="N6" s="691"/>
      <c r="O6" s="691"/>
      <c r="P6" s="691"/>
      <c r="Q6" s="691"/>
      <c r="R6" s="691"/>
      <c r="S6" s="691"/>
      <c r="T6" s="691"/>
      <c r="U6" s="691"/>
      <c r="V6" s="691"/>
      <c r="W6" s="522"/>
      <c r="X6" s="693"/>
    </row>
    <row r="7" spans="2:24" ht="15" customHeight="1" x14ac:dyDescent="0.2">
      <c r="B7" s="520"/>
      <c r="C7" s="523"/>
      <c r="D7" s="523"/>
      <c r="E7" s="523"/>
      <c r="F7" s="523"/>
      <c r="G7" s="523"/>
      <c r="H7" s="523"/>
      <c r="I7" s="523"/>
      <c r="J7" s="523"/>
      <c r="K7" s="523"/>
      <c r="L7" s="523"/>
      <c r="M7" s="523"/>
      <c r="N7" s="523"/>
      <c r="O7" s="523"/>
      <c r="P7" s="523"/>
      <c r="Q7" s="523"/>
      <c r="R7" s="523"/>
      <c r="S7" s="523"/>
      <c r="T7" s="523"/>
      <c r="U7" s="523"/>
      <c r="V7" s="523"/>
      <c r="W7" s="522"/>
      <c r="X7" s="693"/>
    </row>
    <row r="8" spans="2:24" ht="15" customHeight="1" x14ac:dyDescent="0.2">
      <c r="B8" s="520"/>
      <c r="C8" s="690" t="s">
        <v>485</v>
      </c>
      <c r="D8" s="690"/>
      <c r="E8" s="690"/>
      <c r="F8" s="690"/>
      <c r="G8" s="690"/>
      <c r="H8" s="690"/>
      <c r="I8" s="690"/>
      <c r="J8" s="690"/>
      <c r="K8" s="690"/>
      <c r="L8" s="690"/>
      <c r="M8" s="690"/>
      <c r="N8" s="690"/>
      <c r="O8" s="690"/>
      <c r="P8" s="690"/>
      <c r="Q8" s="690"/>
      <c r="R8" s="690"/>
      <c r="S8" s="690"/>
      <c r="T8" s="690"/>
      <c r="U8" s="690"/>
      <c r="V8" s="524"/>
      <c r="W8" s="522"/>
      <c r="X8" s="693"/>
    </row>
    <row r="9" spans="2:24" ht="15" customHeight="1" x14ac:dyDescent="0.2">
      <c r="B9" s="520"/>
      <c r="C9" s="690"/>
      <c r="D9" s="690"/>
      <c r="E9" s="690"/>
      <c r="F9" s="690"/>
      <c r="G9" s="690"/>
      <c r="H9" s="690"/>
      <c r="I9" s="690"/>
      <c r="J9" s="690"/>
      <c r="K9" s="690"/>
      <c r="L9" s="690"/>
      <c r="M9" s="690"/>
      <c r="N9" s="690"/>
      <c r="O9" s="690"/>
      <c r="P9" s="690"/>
      <c r="Q9" s="690"/>
      <c r="R9" s="690"/>
      <c r="S9" s="690"/>
      <c r="T9" s="690"/>
      <c r="U9" s="690"/>
      <c r="V9" s="524"/>
      <c r="W9" s="522"/>
      <c r="X9" s="693"/>
    </row>
    <row r="10" spans="2:24" ht="15" customHeight="1" x14ac:dyDescent="0.2">
      <c r="B10" s="520"/>
      <c r="C10" s="690"/>
      <c r="D10" s="690"/>
      <c r="E10" s="690"/>
      <c r="F10" s="690"/>
      <c r="G10" s="690"/>
      <c r="H10" s="690"/>
      <c r="I10" s="690"/>
      <c r="J10" s="690"/>
      <c r="K10" s="690"/>
      <c r="L10" s="690"/>
      <c r="M10" s="690"/>
      <c r="N10" s="690"/>
      <c r="O10" s="690"/>
      <c r="P10" s="690"/>
      <c r="Q10" s="690"/>
      <c r="R10" s="690"/>
      <c r="S10" s="690"/>
      <c r="T10" s="690"/>
      <c r="U10" s="690"/>
      <c r="V10" s="524"/>
      <c r="W10" s="522"/>
      <c r="X10" s="693"/>
    </row>
    <row r="11" spans="2:24" ht="15" customHeight="1" x14ac:dyDescent="0.2">
      <c r="B11" s="520"/>
      <c r="C11" s="690"/>
      <c r="D11" s="690"/>
      <c r="E11" s="690"/>
      <c r="F11" s="690"/>
      <c r="G11" s="690"/>
      <c r="H11" s="690"/>
      <c r="I11" s="690"/>
      <c r="J11" s="690"/>
      <c r="K11" s="690"/>
      <c r="L11" s="690"/>
      <c r="M11" s="690"/>
      <c r="N11" s="690"/>
      <c r="O11" s="690"/>
      <c r="P11" s="690"/>
      <c r="Q11" s="690"/>
      <c r="R11" s="690"/>
      <c r="S11" s="690"/>
      <c r="T11" s="690"/>
      <c r="U11" s="690"/>
      <c r="V11" s="524"/>
      <c r="W11" s="522"/>
      <c r="X11" s="693"/>
    </row>
    <row r="12" spans="2:24" ht="15" customHeight="1" x14ac:dyDescent="0.2">
      <c r="B12" s="520"/>
      <c r="C12" s="690"/>
      <c r="D12" s="690"/>
      <c r="E12" s="690"/>
      <c r="F12" s="690"/>
      <c r="G12" s="690"/>
      <c r="H12" s="690"/>
      <c r="I12" s="690"/>
      <c r="J12" s="690"/>
      <c r="K12" s="690"/>
      <c r="L12" s="690"/>
      <c r="M12" s="690"/>
      <c r="N12" s="690"/>
      <c r="O12" s="690"/>
      <c r="P12" s="690"/>
      <c r="Q12" s="690"/>
      <c r="R12" s="690"/>
      <c r="S12" s="690"/>
      <c r="T12" s="690"/>
      <c r="U12" s="690"/>
      <c r="V12" s="524"/>
      <c r="W12" s="522"/>
      <c r="X12" s="693"/>
    </row>
    <row r="13" spans="2:24" ht="15" customHeight="1" x14ac:dyDescent="0.2">
      <c r="B13" s="520"/>
      <c r="C13" s="690"/>
      <c r="D13" s="690"/>
      <c r="E13" s="690"/>
      <c r="F13" s="690"/>
      <c r="G13" s="690"/>
      <c r="H13" s="690"/>
      <c r="I13" s="690"/>
      <c r="J13" s="690"/>
      <c r="K13" s="690"/>
      <c r="L13" s="690"/>
      <c r="M13" s="690"/>
      <c r="N13" s="690"/>
      <c r="O13" s="690"/>
      <c r="P13" s="690"/>
      <c r="Q13" s="690"/>
      <c r="R13" s="690"/>
      <c r="S13" s="690"/>
      <c r="T13" s="690"/>
      <c r="U13" s="690"/>
      <c r="V13" s="524"/>
      <c r="W13" s="522"/>
      <c r="X13" s="693"/>
    </row>
    <row r="14" spans="2:24" ht="15" customHeight="1" x14ac:dyDescent="0.2">
      <c r="B14" s="520"/>
      <c r="C14" s="690"/>
      <c r="D14" s="690"/>
      <c r="E14" s="690"/>
      <c r="F14" s="690"/>
      <c r="G14" s="690"/>
      <c r="H14" s="690"/>
      <c r="I14" s="690"/>
      <c r="J14" s="690"/>
      <c r="K14" s="690"/>
      <c r="L14" s="690"/>
      <c r="M14" s="690"/>
      <c r="N14" s="690"/>
      <c r="O14" s="690"/>
      <c r="P14" s="690"/>
      <c r="Q14" s="690"/>
      <c r="R14" s="690"/>
      <c r="S14" s="690"/>
      <c r="T14" s="690"/>
      <c r="U14" s="690"/>
      <c r="V14" s="524"/>
      <c r="W14" s="522"/>
      <c r="X14" s="693"/>
    </row>
    <row r="15" spans="2:24" ht="15" customHeight="1" x14ac:dyDescent="0.2">
      <c r="B15" s="520"/>
      <c r="C15" s="690"/>
      <c r="D15" s="690"/>
      <c r="E15" s="690"/>
      <c r="F15" s="690"/>
      <c r="G15" s="690"/>
      <c r="H15" s="690"/>
      <c r="I15" s="690"/>
      <c r="J15" s="690"/>
      <c r="K15" s="690"/>
      <c r="L15" s="690"/>
      <c r="M15" s="690"/>
      <c r="N15" s="690"/>
      <c r="O15" s="690"/>
      <c r="P15" s="690"/>
      <c r="Q15" s="690"/>
      <c r="R15" s="690"/>
      <c r="S15" s="690"/>
      <c r="T15" s="690"/>
      <c r="U15" s="690"/>
      <c r="V15" s="524"/>
      <c r="W15" s="522"/>
      <c r="X15" s="693"/>
    </row>
    <row r="16" spans="2:24" ht="15" customHeight="1" x14ac:dyDescent="0.2">
      <c r="B16" s="520"/>
      <c r="C16" s="690"/>
      <c r="D16" s="690"/>
      <c r="E16" s="690"/>
      <c r="F16" s="690"/>
      <c r="G16" s="690"/>
      <c r="H16" s="690"/>
      <c r="I16" s="690"/>
      <c r="J16" s="690"/>
      <c r="K16" s="690"/>
      <c r="L16" s="690"/>
      <c r="M16" s="690"/>
      <c r="N16" s="690"/>
      <c r="O16" s="690"/>
      <c r="P16" s="690"/>
      <c r="Q16" s="690"/>
      <c r="R16" s="690"/>
      <c r="S16" s="690"/>
      <c r="T16" s="690"/>
      <c r="U16" s="690"/>
      <c r="V16" s="524"/>
      <c r="W16" s="522"/>
      <c r="X16" s="693"/>
    </row>
    <row r="17" spans="2:24" ht="15" customHeight="1" x14ac:dyDescent="0.2">
      <c r="B17" s="520"/>
      <c r="C17" s="690"/>
      <c r="D17" s="690"/>
      <c r="E17" s="690"/>
      <c r="F17" s="690"/>
      <c r="G17" s="690"/>
      <c r="H17" s="690"/>
      <c r="I17" s="690"/>
      <c r="J17" s="690"/>
      <c r="K17" s="690"/>
      <c r="L17" s="690"/>
      <c r="M17" s="690"/>
      <c r="N17" s="690"/>
      <c r="O17" s="690"/>
      <c r="P17" s="690"/>
      <c r="Q17" s="690"/>
      <c r="R17" s="690"/>
      <c r="S17" s="690"/>
      <c r="T17" s="690"/>
      <c r="U17" s="690"/>
      <c r="V17" s="524"/>
      <c r="W17" s="522"/>
      <c r="X17" s="693"/>
    </row>
    <row r="18" spans="2:24" ht="15" customHeight="1" x14ac:dyDescent="0.2">
      <c r="B18" s="520"/>
      <c r="C18" s="524"/>
      <c r="D18" s="524"/>
      <c r="E18" s="524"/>
      <c r="F18" s="524"/>
      <c r="G18" s="524"/>
      <c r="H18" s="524"/>
      <c r="I18" s="524"/>
      <c r="J18" s="524"/>
      <c r="K18" s="524"/>
      <c r="L18" s="524"/>
      <c r="M18" s="524"/>
      <c r="N18" s="524"/>
      <c r="O18" s="524"/>
      <c r="P18" s="524"/>
      <c r="Q18" s="524"/>
      <c r="R18" s="524"/>
      <c r="S18" s="524"/>
      <c r="T18" s="524"/>
      <c r="U18" s="524"/>
      <c r="V18" s="524"/>
      <c r="W18" s="522"/>
      <c r="X18" s="693"/>
    </row>
    <row r="19" spans="2:24" ht="15" customHeight="1" x14ac:dyDescent="0.2">
      <c r="B19" s="520"/>
      <c r="C19" s="691" t="s">
        <v>435</v>
      </c>
      <c r="D19" s="691"/>
      <c r="E19" s="691"/>
      <c r="F19" s="691"/>
      <c r="G19" s="691"/>
      <c r="H19" s="691"/>
      <c r="I19" s="691"/>
      <c r="J19" s="691"/>
      <c r="K19" s="691"/>
      <c r="L19" s="691"/>
      <c r="M19" s="691"/>
      <c r="N19" s="691"/>
      <c r="O19" s="691"/>
      <c r="P19" s="691"/>
      <c r="Q19" s="691"/>
      <c r="R19" s="691"/>
      <c r="S19" s="691"/>
      <c r="T19" s="691"/>
      <c r="U19" s="691"/>
      <c r="V19" s="691"/>
      <c r="W19" s="522"/>
      <c r="X19" s="693"/>
    </row>
    <row r="20" spans="2:24" ht="15" customHeight="1" x14ac:dyDescent="0.2">
      <c r="B20" s="520"/>
      <c r="C20" s="691"/>
      <c r="D20" s="691"/>
      <c r="E20" s="691"/>
      <c r="F20" s="691"/>
      <c r="G20" s="691"/>
      <c r="H20" s="691"/>
      <c r="I20" s="691"/>
      <c r="J20" s="691"/>
      <c r="K20" s="691"/>
      <c r="L20" s="691"/>
      <c r="M20" s="691"/>
      <c r="N20" s="691"/>
      <c r="O20" s="691"/>
      <c r="P20" s="691"/>
      <c r="Q20" s="691"/>
      <c r="R20" s="691"/>
      <c r="S20" s="691"/>
      <c r="T20" s="691"/>
      <c r="U20" s="691"/>
      <c r="V20" s="691"/>
      <c r="W20" s="522"/>
      <c r="X20" s="693"/>
    </row>
    <row r="21" spans="2:24" ht="15" customHeight="1" x14ac:dyDescent="0.2">
      <c r="B21" s="520"/>
      <c r="C21" s="525"/>
      <c r="D21" s="525"/>
      <c r="E21" s="525"/>
      <c r="F21" s="525"/>
      <c r="G21" s="525"/>
      <c r="H21" s="525"/>
      <c r="I21" s="525"/>
      <c r="J21" s="525"/>
      <c r="K21" s="525"/>
      <c r="L21" s="525"/>
      <c r="M21" s="525"/>
      <c r="N21" s="525"/>
      <c r="O21" s="525"/>
      <c r="P21" s="525"/>
      <c r="Q21" s="525"/>
      <c r="R21" s="525"/>
      <c r="S21" s="525"/>
      <c r="T21" s="525"/>
      <c r="U21" s="525"/>
      <c r="V21" s="525"/>
      <c r="W21" s="522"/>
      <c r="X21" s="693"/>
    </row>
    <row r="22" spans="2:24" ht="15" customHeight="1" x14ac:dyDescent="0.2">
      <c r="B22" s="520"/>
      <c r="C22" s="690" t="s">
        <v>533</v>
      </c>
      <c r="D22" s="690"/>
      <c r="E22" s="690"/>
      <c r="F22" s="690"/>
      <c r="G22" s="690"/>
      <c r="H22" s="690"/>
      <c r="I22" s="690"/>
      <c r="J22" s="690"/>
      <c r="K22" s="690"/>
      <c r="L22" s="690"/>
      <c r="M22" s="690"/>
      <c r="N22" s="690"/>
      <c r="O22" s="690"/>
      <c r="P22" s="690"/>
      <c r="Q22" s="690"/>
      <c r="R22" s="690"/>
      <c r="S22" s="690"/>
      <c r="T22" s="690"/>
      <c r="U22" s="690"/>
      <c r="V22" s="690"/>
      <c r="W22" s="522"/>
      <c r="X22" s="693"/>
    </row>
    <row r="23" spans="2:24" ht="15" customHeight="1" x14ac:dyDescent="0.2">
      <c r="B23" s="520"/>
      <c r="C23" s="690"/>
      <c r="D23" s="690"/>
      <c r="E23" s="690"/>
      <c r="F23" s="690"/>
      <c r="G23" s="690"/>
      <c r="H23" s="690"/>
      <c r="I23" s="690"/>
      <c r="J23" s="690"/>
      <c r="K23" s="690"/>
      <c r="L23" s="690"/>
      <c r="M23" s="690"/>
      <c r="N23" s="690"/>
      <c r="O23" s="690"/>
      <c r="P23" s="690"/>
      <c r="Q23" s="690"/>
      <c r="R23" s="690"/>
      <c r="S23" s="690"/>
      <c r="T23" s="690"/>
      <c r="U23" s="690"/>
      <c r="V23" s="690"/>
      <c r="W23" s="522"/>
      <c r="X23" s="693"/>
    </row>
    <row r="24" spans="2:24" ht="15" customHeight="1" x14ac:dyDescent="0.2">
      <c r="B24" s="520"/>
      <c r="C24" s="690"/>
      <c r="D24" s="690"/>
      <c r="E24" s="690"/>
      <c r="F24" s="690"/>
      <c r="G24" s="690"/>
      <c r="H24" s="690"/>
      <c r="I24" s="690"/>
      <c r="J24" s="690"/>
      <c r="K24" s="690"/>
      <c r="L24" s="690"/>
      <c r="M24" s="690"/>
      <c r="N24" s="690"/>
      <c r="O24" s="690"/>
      <c r="P24" s="690"/>
      <c r="Q24" s="690"/>
      <c r="R24" s="690"/>
      <c r="S24" s="690"/>
      <c r="T24" s="690"/>
      <c r="U24" s="690"/>
      <c r="V24" s="690"/>
      <c r="W24" s="522"/>
      <c r="X24" s="693"/>
    </row>
    <row r="25" spans="2:24" ht="15" customHeight="1" x14ac:dyDescent="0.2">
      <c r="B25" s="520"/>
      <c r="C25" s="690"/>
      <c r="D25" s="690"/>
      <c r="E25" s="690"/>
      <c r="F25" s="690"/>
      <c r="G25" s="690"/>
      <c r="H25" s="690"/>
      <c r="I25" s="690"/>
      <c r="J25" s="690"/>
      <c r="K25" s="690"/>
      <c r="L25" s="690"/>
      <c r="M25" s="690"/>
      <c r="N25" s="690"/>
      <c r="O25" s="690"/>
      <c r="P25" s="690"/>
      <c r="Q25" s="690"/>
      <c r="R25" s="690"/>
      <c r="S25" s="690"/>
      <c r="T25" s="690"/>
      <c r="U25" s="690"/>
      <c r="V25" s="690"/>
      <c r="W25" s="522"/>
      <c r="X25" s="693"/>
    </row>
    <row r="26" spans="2:24" ht="15" customHeight="1" x14ac:dyDescent="0.2">
      <c r="B26" s="520"/>
      <c r="C26" s="690"/>
      <c r="D26" s="690"/>
      <c r="E26" s="690"/>
      <c r="F26" s="690"/>
      <c r="G26" s="690"/>
      <c r="H26" s="690"/>
      <c r="I26" s="690"/>
      <c r="J26" s="690"/>
      <c r="K26" s="690"/>
      <c r="L26" s="690"/>
      <c r="M26" s="690"/>
      <c r="N26" s="690"/>
      <c r="O26" s="690"/>
      <c r="P26" s="690"/>
      <c r="Q26" s="690"/>
      <c r="R26" s="690"/>
      <c r="S26" s="690"/>
      <c r="T26" s="690"/>
      <c r="U26" s="690"/>
      <c r="V26" s="690"/>
      <c r="W26" s="522"/>
      <c r="X26" s="693"/>
    </row>
    <row r="27" spans="2:24" ht="15" customHeight="1" x14ac:dyDescent="0.2">
      <c r="B27" s="520"/>
      <c r="C27" s="690"/>
      <c r="D27" s="690"/>
      <c r="E27" s="690"/>
      <c r="F27" s="690"/>
      <c r="G27" s="690"/>
      <c r="H27" s="690"/>
      <c r="I27" s="690"/>
      <c r="J27" s="690"/>
      <c r="K27" s="690"/>
      <c r="L27" s="690"/>
      <c r="M27" s="690"/>
      <c r="N27" s="690"/>
      <c r="O27" s="690"/>
      <c r="P27" s="690"/>
      <c r="Q27" s="690"/>
      <c r="R27" s="690"/>
      <c r="S27" s="690"/>
      <c r="T27" s="690"/>
      <c r="U27" s="690"/>
      <c r="V27" s="690"/>
      <c r="W27" s="522"/>
      <c r="X27" s="693"/>
    </row>
    <row r="28" spans="2:24" ht="15" customHeight="1" x14ac:dyDescent="0.2">
      <c r="B28" s="520"/>
      <c r="C28" s="690"/>
      <c r="D28" s="690"/>
      <c r="E28" s="690"/>
      <c r="F28" s="690"/>
      <c r="G28" s="690"/>
      <c r="H28" s="690"/>
      <c r="I28" s="690"/>
      <c r="J28" s="690"/>
      <c r="K28" s="690"/>
      <c r="L28" s="690"/>
      <c r="M28" s="690"/>
      <c r="N28" s="690"/>
      <c r="O28" s="690"/>
      <c r="P28" s="690"/>
      <c r="Q28" s="690"/>
      <c r="R28" s="690"/>
      <c r="S28" s="690"/>
      <c r="T28" s="690"/>
      <c r="U28" s="690"/>
      <c r="V28" s="690"/>
      <c r="W28" s="522"/>
      <c r="X28" s="693"/>
    </row>
    <row r="29" spans="2:24" ht="15" customHeight="1" x14ac:dyDescent="0.2">
      <c r="B29" s="520"/>
      <c r="C29" s="690"/>
      <c r="D29" s="690"/>
      <c r="E29" s="690"/>
      <c r="F29" s="690"/>
      <c r="G29" s="690"/>
      <c r="H29" s="690"/>
      <c r="I29" s="690"/>
      <c r="J29" s="690"/>
      <c r="K29" s="690"/>
      <c r="L29" s="690"/>
      <c r="M29" s="690"/>
      <c r="N29" s="690"/>
      <c r="O29" s="690"/>
      <c r="P29" s="690"/>
      <c r="Q29" s="690"/>
      <c r="R29" s="690"/>
      <c r="S29" s="690"/>
      <c r="T29" s="690"/>
      <c r="U29" s="690"/>
      <c r="V29" s="690"/>
      <c r="W29" s="522"/>
      <c r="X29" s="693"/>
    </row>
    <row r="30" spans="2:24" ht="15" customHeight="1" x14ac:dyDescent="0.2">
      <c r="B30" s="520"/>
      <c r="C30" s="690"/>
      <c r="D30" s="690"/>
      <c r="E30" s="690"/>
      <c r="F30" s="690"/>
      <c r="G30" s="690"/>
      <c r="H30" s="690"/>
      <c r="I30" s="690"/>
      <c r="J30" s="690"/>
      <c r="K30" s="690"/>
      <c r="L30" s="690"/>
      <c r="M30" s="690"/>
      <c r="N30" s="690"/>
      <c r="O30" s="690"/>
      <c r="P30" s="690"/>
      <c r="Q30" s="690"/>
      <c r="R30" s="690"/>
      <c r="S30" s="690"/>
      <c r="T30" s="690"/>
      <c r="U30" s="690"/>
      <c r="V30" s="690"/>
      <c r="W30" s="522"/>
      <c r="X30" s="693"/>
    </row>
    <row r="31" spans="2:24" ht="15" customHeight="1" x14ac:dyDescent="0.2">
      <c r="B31" s="520"/>
      <c r="C31" s="690"/>
      <c r="D31" s="690"/>
      <c r="E31" s="690"/>
      <c r="F31" s="690"/>
      <c r="G31" s="690"/>
      <c r="H31" s="690"/>
      <c r="I31" s="690"/>
      <c r="J31" s="690"/>
      <c r="K31" s="690"/>
      <c r="L31" s="690"/>
      <c r="M31" s="690"/>
      <c r="N31" s="690"/>
      <c r="O31" s="690"/>
      <c r="P31" s="690"/>
      <c r="Q31" s="690"/>
      <c r="R31" s="690"/>
      <c r="S31" s="690"/>
      <c r="T31" s="690"/>
      <c r="U31" s="690"/>
      <c r="V31" s="690"/>
      <c r="W31" s="522"/>
      <c r="X31" s="693"/>
    </row>
    <row r="32" spans="2:24" ht="15" customHeight="1" x14ac:dyDescent="0.2">
      <c r="B32" s="520"/>
      <c r="C32" s="690"/>
      <c r="D32" s="690"/>
      <c r="E32" s="690"/>
      <c r="F32" s="690"/>
      <c r="G32" s="690"/>
      <c r="H32" s="690"/>
      <c r="I32" s="690"/>
      <c r="J32" s="690"/>
      <c r="K32" s="690"/>
      <c r="L32" s="690"/>
      <c r="M32" s="690"/>
      <c r="N32" s="690"/>
      <c r="O32" s="690"/>
      <c r="P32" s="690"/>
      <c r="Q32" s="690"/>
      <c r="R32" s="690"/>
      <c r="S32" s="690"/>
      <c r="T32" s="690"/>
      <c r="U32" s="690"/>
      <c r="V32" s="690"/>
      <c r="W32" s="522"/>
      <c r="X32" s="693"/>
    </row>
    <row r="33" spans="2:24" ht="15" customHeight="1" x14ac:dyDescent="0.2">
      <c r="B33" s="520"/>
      <c r="C33" s="690"/>
      <c r="D33" s="690"/>
      <c r="E33" s="690"/>
      <c r="F33" s="690"/>
      <c r="G33" s="690"/>
      <c r="H33" s="690"/>
      <c r="I33" s="690"/>
      <c r="J33" s="690"/>
      <c r="K33" s="690"/>
      <c r="L33" s="690"/>
      <c r="M33" s="690"/>
      <c r="N33" s="690"/>
      <c r="O33" s="690"/>
      <c r="P33" s="690"/>
      <c r="Q33" s="690"/>
      <c r="R33" s="690"/>
      <c r="S33" s="690"/>
      <c r="T33" s="690"/>
      <c r="U33" s="690"/>
      <c r="V33" s="690"/>
      <c r="W33" s="522"/>
      <c r="X33" s="693"/>
    </row>
    <row r="34" spans="2:24" ht="15" customHeight="1" x14ac:dyDescent="0.2">
      <c r="B34" s="520"/>
      <c r="C34" s="690"/>
      <c r="D34" s="690"/>
      <c r="E34" s="690"/>
      <c r="F34" s="690"/>
      <c r="G34" s="690"/>
      <c r="H34" s="690"/>
      <c r="I34" s="690"/>
      <c r="J34" s="690"/>
      <c r="K34" s="690"/>
      <c r="L34" s="690"/>
      <c r="M34" s="690"/>
      <c r="N34" s="690"/>
      <c r="O34" s="690"/>
      <c r="P34" s="690"/>
      <c r="Q34" s="690"/>
      <c r="R34" s="690"/>
      <c r="S34" s="690"/>
      <c r="T34" s="690"/>
      <c r="U34" s="690"/>
      <c r="V34" s="690"/>
      <c r="W34" s="522"/>
      <c r="X34" s="693"/>
    </row>
    <row r="35" spans="2:24" ht="15" customHeight="1" x14ac:dyDescent="0.2">
      <c r="B35" s="520"/>
      <c r="C35" s="690"/>
      <c r="D35" s="690"/>
      <c r="E35" s="690"/>
      <c r="F35" s="690"/>
      <c r="G35" s="690"/>
      <c r="H35" s="690"/>
      <c r="I35" s="690"/>
      <c r="J35" s="690"/>
      <c r="K35" s="690"/>
      <c r="L35" s="690"/>
      <c r="M35" s="690"/>
      <c r="N35" s="690"/>
      <c r="O35" s="690"/>
      <c r="P35" s="690"/>
      <c r="Q35" s="690"/>
      <c r="R35" s="690"/>
      <c r="S35" s="690"/>
      <c r="T35" s="690"/>
      <c r="U35" s="690"/>
      <c r="V35" s="690"/>
      <c r="W35" s="522"/>
      <c r="X35" s="693"/>
    </row>
    <row r="36" spans="2:24" ht="15" customHeight="1" x14ac:dyDescent="0.2">
      <c r="B36" s="520"/>
      <c r="C36" s="690"/>
      <c r="D36" s="690"/>
      <c r="E36" s="690"/>
      <c r="F36" s="690"/>
      <c r="G36" s="690"/>
      <c r="H36" s="690"/>
      <c r="I36" s="690"/>
      <c r="J36" s="690"/>
      <c r="K36" s="690"/>
      <c r="L36" s="690"/>
      <c r="M36" s="690"/>
      <c r="N36" s="690"/>
      <c r="O36" s="690"/>
      <c r="P36" s="690"/>
      <c r="Q36" s="690"/>
      <c r="R36" s="690"/>
      <c r="S36" s="690"/>
      <c r="T36" s="690"/>
      <c r="U36" s="690"/>
      <c r="V36" s="690"/>
      <c r="W36" s="522"/>
      <c r="X36" s="693"/>
    </row>
    <row r="37" spans="2:24" ht="15" customHeight="1" x14ac:dyDescent="0.2">
      <c r="B37" s="520"/>
      <c r="C37" s="690"/>
      <c r="D37" s="690"/>
      <c r="E37" s="690"/>
      <c r="F37" s="690"/>
      <c r="G37" s="690"/>
      <c r="H37" s="690"/>
      <c r="I37" s="690"/>
      <c r="J37" s="690"/>
      <c r="K37" s="690"/>
      <c r="L37" s="690"/>
      <c r="M37" s="690"/>
      <c r="N37" s="690"/>
      <c r="O37" s="690"/>
      <c r="P37" s="690"/>
      <c r="Q37" s="690"/>
      <c r="R37" s="690"/>
      <c r="S37" s="690"/>
      <c r="T37" s="690"/>
      <c r="U37" s="690"/>
      <c r="V37" s="690"/>
      <c r="W37" s="522"/>
      <c r="X37" s="693"/>
    </row>
    <row r="38" spans="2:24" ht="15" customHeight="1" x14ac:dyDescent="0.2">
      <c r="B38" s="520"/>
      <c r="C38" s="690"/>
      <c r="D38" s="690"/>
      <c r="E38" s="690"/>
      <c r="F38" s="690"/>
      <c r="G38" s="690"/>
      <c r="H38" s="690"/>
      <c r="I38" s="690"/>
      <c r="J38" s="690"/>
      <c r="K38" s="690"/>
      <c r="L38" s="690"/>
      <c r="M38" s="690"/>
      <c r="N38" s="690"/>
      <c r="O38" s="690"/>
      <c r="P38" s="690"/>
      <c r="Q38" s="690"/>
      <c r="R38" s="690"/>
      <c r="S38" s="690"/>
      <c r="T38" s="690"/>
      <c r="U38" s="690"/>
      <c r="V38" s="690"/>
      <c r="W38" s="522"/>
      <c r="X38" s="693"/>
    </row>
    <row r="39" spans="2:24" ht="15" customHeight="1" x14ac:dyDescent="0.2">
      <c r="B39" s="520"/>
      <c r="C39" s="690"/>
      <c r="D39" s="690"/>
      <c r="E39" s="690"/>
      <c r="F39" s="690"/>
      <c r="G39" s="690"/>
      <c r="H39" s="690"/>
      <c r="I39" s="690"/>
      <c r="J39" s="690"/>
      <c r="K39" s="690"/>
      <c r="L39" s="690"/>
      <c r="M39" s="690"/>
      <c r="N39" s="690"/>
      <c r="O39" s="690"/>
      <c r="P39" s="690"/>
      <c r="Q39" s="690"/>
      <c r="R39" s="690"/>
      <c r="S39" s="690"/>
      <c r="T39" s="690"/>
      <c r="U39" s="690"/>
      <c r="V39" s="690"/>
      <c r="W39" s="522"/>
      <c r="X39" s="693"/>
    </row>
    <row r="40" spans="2:24" ht="15" customHeight="1" x14ac:dyDescent="0.2">
      <c r="B40" s="520"/>
      <c r="C40" s="690"/>
      <c r="D40" s="690"/>
      <c r="E40" s="690"/>
      <c r="F40" s="690"/>
      <c r="G40" s="690"/>
      <c r="H40" s="690"/>
      <c r="I40" s="690"/>
      <c r="J40" s="690"/>
      <c r="K40" s="690"/>
      <c r="L40" s="690"/>
      <c r="M40" s="690"/>
      <c r="N40" s="690"/>
      <c r="O40" s="690"/>
      <c r="P40" s="690"/>
      <c r="Q40" s="690"/>
      <c r="R40" s="690"/>
      <c r="S40" s="690"/>
      <c r="T40" s="690"/>
      <c r="U40" s="690"/>
      <c r="V40" s="690"/>
      <c r="W40" s="522"/>
      <c r="X40" s="693"/>
    </row>
    <row r="41" spans="2:24" ht="15" customHeight="1" x14ac:dyDescent="0.2">
      <c r="B41" s="520"/>
      <c r="C41" s="690"/>
      <c r="D41" s="690"/>
      <c r="E41" s="690"/>
      <c r="F41" s="690"/>
      <c r="G41" s="690"/>
      <c r="H41" s="690"/>
      <c r="I41" s="690"/>
      <c r="J41" s="690"/>
      <c r="K41" s="690"/>
      <c r="L41" s="690"/>
      <c r="M41" s="690"/>
      <c r="N41" s="690"/>
      <c r="O41" s="690"/>
      <c r="P41" s="690"/>
      <c r="Q41" s="690"/>
      <c r="R41" s="690"/>
      <c r="S41" s="690"/>
      <c r="T41" s="690"/>
      <c r="U41" s="690"/>
      <c r="V41" s="690"/>
      <c r="W41" s="522"/>
      <c r="X41" s="693"/>
    </row>
    <row r="42" spans="2:24" ht="15" customHeight="1" x14ac:dyDescent="0.2">
      <c r="B42" s="520"/>
      <c r="C42" s="690"/>
      <c r="D42" s="690"/>
      <c r="E42" s="690"/>
      <c r="F42" s="690"/>
      <c r="G42" s="690"/>
      <c r="H42" s="690"/>
      <c r="I42" s="690"/>
      <c r="J42" s="690"/>
      <c r="K42" s="690"/>
      <c r="L42" s="690"/>
      <c r="M42" s="690"/>
      <c r="N42" s="690"/>
      <c r="O42" s="690"/>
      <c r="P42" s="690"/>
      <c r="Q42" s="690"/>
      <c r="R42" s="690"/>
      <c r="S42" s="690"/>
      <c r="T42" s="690"/>
      <c r="U42" s="690"/>
      <c r="V42" s="690"/>
      <c r="W42" s="522"/>
      <c r="X42" s="693"/>
    </row>
    <row r="43" spans="2:24" ht="15" customHeight="1" x14ac:dyDescent="0.2">
      <c r="B43" s="520"/>
      <c r="C43" s="690"/>
      <c r="D43" s="690"/>
      <c r="E43" s="690"/>
      <c r="F43" s="690"/>
      <c r="G43" s="690"/>
      <c r="H43" s="690"/>
      <c r="I43" s="690"/>
      <c r="J43" s="690"/>
      <c r="K43" s="690"/>
      <c r="L43" s="690"/>
      <c r="M43" s="690"/>
      <c r="N43" s="690"/>
      <c r="O43" s="690"/>
      <c r="P43" s="690"/>
      <c r="Q43" s="690"/>
      <c r="R43" s="690"/>
      <c r="S43" s="690"/>
      <c r="T43" s="690"/>
      <c r="U43" s="690"/>
      <c r="V43" s="690"/>
      <c r="W43" s="522"/>
      <c r="X43" s="693"/>
    </row>
    <row r="44" spans="2:24" ht="15" customHeight="1" x14ac:dyDescent="0.2">
      <c r="B44" s="520"/>
      <c r="C44" s="690"/>
      <c r="D44" s="690"/>
      <c r="E44" s="690"/>
      <c r="F44" s="690"/>
      <c r="G44" s="690"/>
      <c r="H44" s="690"/>
      <c r="I44" s="690"/>
      <c r="J44" s="690"/>
      <c r="K44" s="690"/>
      <c r="L44" s="690"/>
      <c r="M44" s="690"/>
      <c r="N44" s="690"/>
      <c r="O44" s="690"/>
      <c r="P44" s="690"/>
      <c r="Q44" s="690"/>
      <c r="R44" s="690"/>
      <c r="S44" s="690"/>
      <c r="T44" s="690"/>
      <c r="U44" s="690"/>
      <c r="V44" s="690"/>
      <c r="W44" s="522"/>
      <c r="X44" s="693"/>
    </row>
    <row r="45" spans="2:24" ht="15" customHeight="1" x14ac:dyDescent="0.2">
      <c r="B45" s="520"/>
      <c r="C45" s="690"/>
      <c r="D45" s="690"/>
      <c r="E45" s="690"/>
      <c r="F45" s="690"/>
      <c r="G45" s="690"/>
      <c r="H45" s="690"/>
      <c r="I45" s="690"/>
      <c r="J45" s="690"/>
      <c r="K45" s="690"/>
      <c r="L45" s="690"/>
      <c r="M45" s="690"/>
      <c r="N45" s="690"/>
      <c r="O45" s="690"/>
      <c r="P45" s="690"/>
      <c r="Q45" s="690"/>
      <c r="R45" s="690"/>
      <c r="S45" s="690"/>
      <c r="T45" s="690"/>
      <c r="U45" s="690"/>
      <c r="V45" s="690"/>
      <c r="W45" s="522"/>
      <c r="X45" s="693"/>
    </row>
    <row r="46" spans="2:24" ht="15" customHeight="1" x14ac:dyDescent="0.2">
      <c r="B46" s="520"/>
      <c r="C46" s="690"/>
      <c r="D46" s="690"/>
      <c r="E46" s="690"/>
      <c r="F46" s="690"/>
      <c r="G46" s="690"/>
      <c r="H46" s="690"/>
      <c r="I46" s="690"/>
      <c r="J46" s="690"/>
      <c r="K46" s="690"/>
      <c r="L46" s="690"/>
      <c r="M46" s="690"/>
      <c r="N46" s="690"/>
      <c r="O46" s="690"/>
      <c r="P46" s="690"/>
      <c r="Q46" s="690"/>
      <c r="R46" s="690"/>
      <c r="S46" s="690"/>
      <c r="T46" s="690"/>
      <c r="U46" s="690"/>
      <c r="V46" s="690"/>
      <c r="W46" s="522"/>
      <c r="X46" s="693"/>
    </row>
    <row r="47" spans="2:24" ht="15" customHeight="1" x14ac:dyDescent="0.2">
      <c r="B47" s="520"/>
      <c r="C47" s="526"/>
      <c r="D47" s="526"/>
      <c r="E47" s="526"/>
      <c r="F47" s="526"/>
      <c r="G47" s="526"/>
      <c r="H47" s="526"/>
      <c r="I47" s="526"/>
      <c r="J47" s="526"/>
      <c r="K47" s="526"/>
      <c r="L47" s="526"/>
      <c r="M47" s="526"/>
      <c r="N47" s="526"/>
      <c r="O47" s="526"/>
      <c r="P47" s="526"/>
      <c r="Q47" s="526"/>
      <c r="R47" s="526"/>
      <c r="S47" s="526"/>
      <c r="T47" s="526"/>
      <c r="U47" s="526"/>
      <c r="V47" s="526"/>
      <c r="W47" s="522"/>
      <c r="X47" s="693"/>
    </row>
    <row r="48" spans="2:24" ht="15" customHeight="1" x14ac:dyDescent="0.2">
      <c r="B48" s="520"/>
      <c r="C48" s="521"/>
      <c r="D48" s="521"/>
      <c r="E48" s="521"/>
      <c r="F48" s="521"/>
      <c r="G48" s="521"/>
      <c r="H48" s="521"/>
      <c r="I48" s="521"/>
      <c r="J48" s="521"/>
      <c r="K48" s="521"/>
      <c r="L48" s="521"/>
      <c r="M48" s="521"/>
      <c r="N48" s="521"/>
      <c r="O48" s="521"/>
      <c r="P48" s="521"/>
      <c r="Q48" s="521"/>
      <c r="R48" s="521"/>
      <c r="S48" s="521"/>
      <c r="T48" s="521"/>
      <c r="U48" s="521"/>
      <c r="V48" s="521"/>
      <c r="W48" s="522"/>
      <c r="X48" s="693"/>
    </row>
    <row r="49" spans="2:24" ht="15" customHeight="1" x14ac:dyDescent="0.2">
      <c r="B49" s="520"/>
      <c r="C49" s="521"/>
      <c r="D49" s="521"/>
      <c r="E49" s="521"/>
      <c r="F49" s="521"/>
      <c r="G49" s="521"/>
      <c r="H49" s="521"/>
      <c r="I49" s="521"/>
      <c r="J49" s="521"/>
      <c r="K49" s="521"/>
      <c r="L49" s="521"/>
      <c r="M49" s="521"/>
      <c r="N49" s="521"/>
      <c r="O49" s="521"/>
      <c r="P49" s="521"/>
      <c r="Q49" s="521"/>
      <c r="R49" s="521"/>
      <c r="S49" s="521"/>
      <c r="T49" s="521"/>
      <c r="U49" s="521"/>
      <c r="V49" s="521"/>
      <c r="W49" s="522"/>
      <c r="X49" s="693"/>
    </row>
    <row r="50" spans="2:24" ht="15" customHeight="1" x14ac:dyDescent="0.2">
      <c r="B50" s="520"/>
      <c r="C50" s="521"/>
      <c r="D50" s="521"/>
      <c r="E50" s="521"/>
      <c r="F50" s="521"/>
      <c r="G50" s="521"/>
      <c r="H50" s="521"/>
      <c r="I50" s="521"/>
      <c r="J50" s="521"/>
      <c r="K50" s="521"/>
      <c r="L50" s="521"/>
      <c r="M50" s="521"/>
      <c r="N50" s="521"/>
      <c r="O50" s="521"/>
      <c r="P50" s="521"/>
      <c r="Q50" s="521"/>
      <c r="R50" s="521"/>
      <c r="S50" s="521"/>
      <c r="T50" s="521"/>
      <c r="U50" s="521"/>
      <c r="V50" s="521"/>
      <c r="W50" s="522"/>
      <c r="X50" s="693"/>
    </row>
    <row r="51" spans="2:24" ht="15" customHeight="1" x14ac:dyDescent="0.2">
      <c r="B51" s="520"/>
      <c r="C51" s="521"/>
      <c r="D51" s="521"/>
      <c r="E51" s="521"/>
      <c r="F51" s="521"/>
      <c r="G51" s="521"/>
      <c r="H51" s="521"/>
      <c r="I51" s="521"/>
      <c r="J51" s="521"/>
      <c r="K51" s="521"/>
      <c r="L51" s="521"/>
      <c r="M51" s="521"/>
      <c r="N51" s="521"/>
      <c r="O51" s="521"/>
      <c r="P51" s="521"/>
      <c r="Q51" s="521"/>
      <c r="R51" s="521"/>
      <c r="S51" s="521"/>
      <c r="T51" s="521"/>
      <c r="U51" s="521"/>
      <c r="V51" s="521"/>
      <c r="W51" s="522"/>
      <c r="X51" s="693"/>
    </row>
    <row r="52" spans="2:24" ht="15" customHeight="1" x14ac:dyDescent="0.2">
      <c r="B52" s="520"/>
      <c r="C52" s="521"/>
      <c r="D52" s="521"/>
      <c r="E52" s="521"/>
      <c r="F52" s="521"/>
      <c r="G52" s="521"/>
      <c r="H52" s="521"/>
      <c r="I52" s="521"/>
      <c r="J52" s="521"/>
      <c r="K52" s="521"/>
      <c r="L52" s="521"/>
      <c r="M52" s="521"/>
      <c r="N52" s="521"/>
      <c r="O52" s="521"/>
      <c r="P52" s="521"/>
      <c r="Q52" s="521"/>
      <c r="R52" s="521"/>
      <c r="S52" s="521"/>
      <c r="T52" s="521"/>
      <c r="U52" s="521"/>
      <c r="V52" s="521"/>
      <c r="W52" s="522"/>
      <c r="X52" s="693"/>
    </row>
    <row r="53" spans="2:24" ht="15" customHeight="1" thickBot="1" x14ac:dyDescent="0.25">
      <c r="B53" s="527"/>
      <c r="C53" s="526"/>
      <c r="D53" s="526"/>
      <c r="E53" s="526"/>
      <c r="F53" s="526"/>
      <c r="G53" s="526"/>
      <c r="H53" s="526"/>
      <c r="I53" s="526"/>
      <c r="J53" s="526"/>
      <c r="K53" s="526"/>
      <c r="L53" s="526"/>
      <c r="M53" s="526"/>
      <c r="N53" s="526"/>
      <c r="O53" s="526"/>
      <c r="P53" s="526"/>
      <c r="Q53" s="526"/>
      <c r="R53" s="526"/>
      <c r="S53" s="526"/>
      <c r="T53" s="526"/>
      <c r="U53" s="526"/>
      <c r="V53" s="526"/>
      <c r="W53" s="528"/>
      <c r="X53" s="329"/>
    </row>
    <row r="54" spans="2:24" ht="14" customHeight="1" x14ac:dyDescent="0.2">
      <c r="B54" s="692"/>
      <c r="C54" s="692"/>
      <c r="D54" s="692"/>
      <c r="E54" s="692"/>
      <c r="F54" s="692"/>
      <c r="G54" s="692"/>
      <c r="H54" s="692"/>
      <c r="I54" s="692"/>
      <c r="J54" s="692"/>
      <c r="K54" s="692"/>
      <c r="L54" s="692"/>
      <c r="M54" s="692"/>
      <c r="N54" s="692"/>
      <c r="O54" s="692"/>
      <c r="P54" s="692"/>
      <c r="Q54" s="692"/>
      <c r="R54" s="692"/>
      <c r="S54" s="692"/>
      <c r="T54" s="692"/>
      <c r="U54" s="692"/>
      <c r="V54" s="692"/>
      <c r="W54" s="692"/>
      <c r="X54" s="8"/>
    </row>
  </sheetData>
  <sheetProtection algorithmName="SHA-512" hashValue="9JWPbMdxnipX8WXxpOI4IBxNepTfFEnRO8pBg3Br+AMszkmg868U/UT0uoyehWzRyIkT8CpE+/KWu85ty62+mQ==" saltValue="W+R7jAFpbNI6o/rEVj4S4Q==" spinCount="100000" sheet="1" objects="1" scenarios="1" selectLockedCells="1" selectUnlockedCells="1"/>
  <mergeCells count="8">
    <mergeCell ref="C4:V4"/>
    <mergeCell ref="C8:U17"/>
    <mergeCell ref="C6:V6"/>
    <mergeCell ref="B54:W54"/>
    <mergeCell ref="X2:X52"/>
    <mergeCell ref="C19:V20"/>
    <mergeCell ref="C22:V46"/>
    <mergeCell ref="C5:V5"/>
  </mergeCells>
  <pageMargins left="0.7" right="0.7" top="0.75" bottom="0.75" header="0.3" footer="0.3"/>
  <pageSetup paperSize="9" orientation="portrait" horizontalDpi="0" verticalDpi="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FA5CF-6287-9445-AF54-3A044582831B}">
  <sheetPr codeName="Sheet11">
    <tabColor rgb="FF7030A0"/>
  </sheetPr>
  <dimension ref="B1:F188"/>
  <sheetViews>
    <sheetView workbookViewId="0"/>
  </sheetViews>
  <sheetFormatPr baseColWidth="10" defaultColWidth="10.83203125" defaultRowHeight="15" x14ac:dyDescent="0.2"/>
  <cols>
    <col min="1" max="1" width="10.83203125" style="54"/>
    <col min="2" max="2" width="40.83203125" style="54" customWidth="1"/>
    <col min="3" max="3" width="10.83203125" style="54"/>
    <col min="4" max="4" width="5.83203125" style="54" customWidth="1"/>
    <col min="5" max="5" width="85.83203125" style="54" customWidth="1"/>
    <col min="6" max="6" width="5.83203125" style="54" customWidth="1"/>
    <col min="7" max="16384" width="10.83203125" style="54"/>
  </cols>
  <sheetData>
    <row r="1" spans="2:6" ht="67" customHeight="1" x14ac:dyDescent="0.2">
      <c r="B1" s="422" t="s">
        <v>519</v>
      </c>
    </row>
    <row r="2" spans="2:6" x14ac:dyDescent="0.2">
      <c r="B2" s="406" t="s">
        <v>28</v>
      </c>
      <c r="D2" s="959"/>
      <c r="E2" s="962" t="s">
        <v>454</v>
      </c>
      <c r="F2" s="323"/>
    </row>
    <row r="3" spans="2:6" x14ac:dyDescent="0.2">
      <c r="B3" s="407" t="s">
        <v>414</v>
      </c>
      <c r="D3" s="960"/>
      <c r="E3" s="963"/>
      <c r="F3" s="325"/>
    </row>
    <row r="4" spans="2:6" x14ac:dyDescent="0.2">
      <c r="B4" s="407" t="s">
        <v>267</v>
      </c>
      <c r="D4" s="960"/>
      <c r="E4" s="963"/>
      <c r="F4" s="325"/>
    </row>
    <row r="5" spans="2:6" x14ac:dyDescent="0.2">
      <c r="B5" s="407" t="s">
        <v>127</v>
      </c>
      <c r="D5" s="960"/>
      <c r="E5" s="963"/>
      <c r="F5" s="325"/>
    </row>
    <row r="6" spans="2:6" x14ac:dyDescent="0.2">
      <c r="B6" s="407" t="s">
        <v>347</v>
      </c>
      <c r="D6" s="960"/>
      <c r="E6" s="963"/>
      <c r="F6" s="325"/>
    </row>
    <row r="7" spans="2:6" x14ac:dyDescent="0.2">
      <c r="B7" s="407" t="s">
        <v>348</v>
      </c>
      <c r="D7" s="960"/>
      <c r="E7" s="963"/>
      <c r="F7" s="325"/>
    </row>
    <row r="8" spans="2:6" x14ac:dyDescent="0.2">
      <c r="B8" s="407" t="s">
        <v>436</v>
      </c>
      <c r="D8" s="960"/>
      <c r="E8" s="963"/>
      <c r="F8" s="325"/>
    </row>
    <row r="9" spans="2:6" x14ac:dyDescent="0.2">
      <c r="B9" s="407" t="s">
        <v>751</v>
      </c>
      <c r="D9" s="960"/>
      <c r="E9" s="963"/>
      <c r="F9" s="325"/>
    </row>
    <row r="10" spans="2:6" x14ac:dyDescent="0.2">
      <c r="B10" s="407" t="s">
        <v>770</v>
      </c>
      <c r="D10" s="960"/>
      <c r="E10" s="963"/>
      <c r="F10" s="325"/>
    </row>
    <row r="11" spans="2:6" x14ac:dyDescent="0.2">
      <c r="B11" s="407" t="s">
        <v>750</v>
      </c>
      <c r="D11" s="960"/>
      <c r="E11" s="963"/>
      <c r="F11" s="325"/>
    </row>
    <row r="12" spans="2:6" x14ac:dyDescent="0.2">
      <c r="B12" s="407" t="s">
        <v>72</v>
      </c>
      <c r="D12" s="960"/>
      <c r="E12" s="963"/>
      <c r="F12" s="325"/>
    </row>
    <row r="13" spans="2:6" x14ac:dyDescent="0.2">
      <c r="B13" s="407" t="s">
        <v>720</v>
      </c>
      <c r="D13" s="960"/>
      <c r="E13" s="963"/>
      <c r="F13" s="325"/>
    </row>
    <row r="14" spans="2:6" x14ac:dyDescent="0.2">
      <c r="B14" s="407" t="s">
        <v>755</v>
      </c>
      <c r="D14" s="960"/>
      <c r="E14" s="963"/>
      <c r="F14" s="325"/>
    </row>
    <row r="15" spans="2:6" x14ac:dyDescent="0.2">
      <c r="B15" s="407" t="s">
        <v>754</v>
      </c>
      <c r="D15" s="960"/>
      <c r="E15" s="963"/>
      <c r="F15" s="325"/>
    </row>
    <row r="16" spans="2:6" x14ac:dyDescent="0.2">
      <c r="B16" s="407" t="s">
        <v>240</v>
      </c>
      <c r="D16" s="960"/>
      <c r="E16" s="963"/>
      <c r="F16" s="325"/>
    </row>
    <row r="17" spans="2:6" x14ac:dyDescent="0.2">
      <c r="B17" s="407" t="s">
        <v>612</v>
      </c>
      <c r="D17" s="960"/>
      <c r="E17" s="963"/>
      <c r="F17" s="325"/>
    </row>
    <row r="18" spans="2:6" x14ac:dyDescent="0.2">
      <c r="B18" s="407" t="s">
        <v>121</v>
      </c>
      <c r="D18" s="960"/>
      <c r="E18" s="963"/>
      <c r="F18" s="325"/>
    </row>
    <row r="19" spans="2:6" x14ac:dyDescent="0.2">
      <c r="B19" s="407" t="s">
        <v>441</v>
      </c>
      <c r="D19" s="960"/>
      <c r="E19" s="963"/>
      <c r="F19" s="325"/>
    </row>
    <row r="20" spans="2:6" x14ac:dyDescent="0.2">
      <c r="B20" s="407" t="s">
        <v>812</v>
      </c>
      <c r="D20" s="960"/>
      <c r="E20" s="963"/>
      <c r="F20" s="325"/>
    </row>
    <row r="21" spans="2:6" x14ac:dyDescent="0.2">
      <c r="B21" s="407" t="s">
        <v>159</v>
      </c>
      <c r="D21" s="960"/>
      <c r="E21" s="963"/>
      <c r="F21" s="325"/>
    </row>
    <row r="22" spans="2:6" x14ac:dyDescent="0.2">
      <c r="B22" s="407" t="s">
        <v>763</v>
      </c>
      <c r="D22" s="960"/>
      <c r="E22" s="963"/>
      <c r="F22" s="325"/>
    </row>
    <row r="23" spans="2:6" x14ac:dyDescent="0.2">
      <c r="B23" s="407" t="s">
        <v>391</v>
      </c>
      <c r="D23" s="960"/>
      <c r="E23" s="963"/>
      <c r="F23" s="325"/>
    </row>
    <row r="24" spans="2:6" x14ac:dyDescent="0.2">
      <c r="B24" s="407" t="s">
        <v>334</v>
      </c>
      <c r="D24" s="960"/>
      <c r="E24" s="963"/>
      <c r="F24" s="325"/>
    </row>
    <row r="25" spans="2:6" x14ac:dyDescent="0.2">
      <c r="B25" s="407" t="s">
        <v>31</v>
      </c>
      <c r="D25" s="960"/>
      <c r="E25" s="963"/>
      <c r="F25" s="325"/>
    </row>
    <row r="26" spans="2:6" x14ac:dyDescent="0.2">
      <c r="B26" s="407" t="s">
        <v>400</v>
      </c>
      <c r="D26" s="960"/>
      <c r="E26" s="963"/>
      <c r="F26" s="325"/>
    </row>
    <row r="27" spans="2:6" x14ac:dyDescent="0.2">
      <c r="B27" s="407" t="s">
        <v>335</v>
      </c>
      <c r="D27" s="960"/>
      <c r="E27" s="963"/>
      <c r="F27" s="325"/>
    </row>
    <row r="28" spans="2:6" x14ac:dyDescent="0.2">
      <c r="B28" s="407" t="s">
        <v>23</v>
      </c>
      <c r="D28" s="960"/>
      <c r="E28" s="963"/>
      <c r="F28" s="325"/>
    </row>
    <row r="29" spans="2:6" x14ac:dyDescent="0.2">
      <c r="B29" s="407" t="s">
        <v>561</v>
      </c>
      <c r="D29" s="960"/>
      <c r="E29" s="963"/>
      <c r="F29" s="325"/>
    </row>
    <row r="30" spans="2:6" x14ac:dyDescent="0.2">
      <c r="B30" s="407" t="s">
        <v>614</v>
      </c>
      <c r="D30" s="960"/>
      <c r="E30" s="963"/>
      <c r="F30" s="325"/>
    </row>
    <row r="31" spans="2:6" x14ac:dyDescent="0.2">
      <c r="B31" s="407" t="s">
        <v>283</v>
      </c>
      <c r="D31" s="960"/>
      <c r="E31" s="963"/>
      <c r="F31" s="325"/>
    </row>
    <row r="32" spans="2:6" x14ac:dyDescent="0.2">
      <c r="B32" s="407" t="s">
        <v>765</v>
      </c>
      <c r="D32" s="960"/>
      <c r="E32" s="963"/>
      <c r="F32" s="325"/>
    </row>
    <row r="33" spans="2:6" x14ac:dyDescent="0.2">
      <c r="B33" s="407" t="s">
        <v>157</v>
      </c>
      <c r="D33" s="960"/>
      <c r="E33" s="963"/>
      <c r="F33" s="325"/>
    </row>
    <row r="34" spans="2:6" x14ac:dyDescent="0.2">
      <c r="B34" s="407" t="s">
        <v>469</v>
      </c>
      <c r="D34" s="960"/>
      <c r="E34" s="963"/>
      <c r="F34" s="325"/>
    </row>
    <row r="35" spans="2:6" x14ac:dyDescent="0.2">
      <c r="B35" s="407" t="s">
        <v>158</v>
      </c>
      <c r="D35" s="960"/>
      <c r="E35" s="963"/>
      <c r="F35" s="325"/>
    </row>
    <row r="36" spans="2:6" x14ac:dyDescent="0.2">
      <c r="B36" s="407" t="s">
        <v>250</v>
      </c>
      <c r="D36" s="960"/>
      <c r="E36" s="963"/>
      <c r="F36" s="325"/>
    </row>
    <row r="37" spans="2:6" x14ac:dyDescent="0.2">
      <c r="B37" s="407" t="s">
        <v>161</v>
      </c>
      <c r="D37" s="960"/>
      <c r="E37" s="963"/>
      <c r="F37" s="325"/>
    </row>
    <row r="38" spans="2:6" x14ac:dyDescent="0.2">
      <c r="B38" s="407" t="s">
        <v>244</v>
      </c>
      <c r="D38" s="960"/>
      <c r="E38" s="963"/>
      <c r="F38" s="325"/>
    </row>
    <row r="39" spans="2:6" x14ac:dyDescent="0.2">
      <c r="B39" s="407" t="s">
        <v>138</v>
      </c>
      <c r="D39" s="960"/>
      <c r="E39" s="963"/>
      <c r="F39" s="325"/>
    </row>
    <row r="40" spans="2:6" x14ac:dyDescent="0.2">
      <c r="B40" s="407" t="s">
        <v>728</v>
      </c>
      <c r="D40" s="960"/>
      <c r="E40" s="963"/>
      <c r="F40" s="325"/>
    </row>
    <row r="41" spans="2:6" x14ac:dyDescent="0.2">
      <c r="B41" s="407" t="s">
        <v>112</v>
      </c>
      <c r="D41" s="960"/>
      <c r="E41" s="963"/>
      <c r="F41" s="325"/>
    </row>
    <row r="42" spans="2:6" x14ac:dyDescent="0.2">
      <c r="B42" s="407" t="s">
        <v>734</v>
      </c>
      <c r="D42" s="960"/>
      <c r="E42" s="963"/>
      <c r="F42" s="325"/>
    </row>
    <row r="43" spans="2:6" x14ac:dyDescent="0.2">
      <c r="B43" s="407" t="s">
        <v>752</v>
      </c>
      <c r="D43" s="960"/>
      <c r="E43" s="963"/>
      <c r="F43" s="325"/>
    </row>
    <row r="44" spans="2:6" x14ac:dyDescent="0.2">
      <c r="B44" s="407" t="s">
        <v>249</v>
      </c>
      <c r="D44" s="960"/>
      <c r="E44" s="963"/>
      <c r="F44" s="325"/>
    </row>
    <row r="45" spans="2:6" x14ac:dyDescent="0.2">
      <c r="B45" s="407" t="s">
        <v>255</v>
      </c>
      <c r="D45" s="960"/>
      <c r="E45" s="963"/>
      <c r="F45" s="325"/>
    </row>
    <row r="46" spans="2:6" x14ac:dyDescent="0.2">
      <c r="B46" s="407" t="s">
        <v>732</v>
      </c>
      <c r="D46" s="960"/>
      <c r="E46" s="963"/>
      <c r="F46" s="325"/>
    </row>
    <row r="47" spans="2:6" x14ac:dyDescent="0.2">
      <c r="B47" s="407" t="s">
        <v>268</v>
      </c>
      <c r="D47" s="960"/>
      <c r="E47" s="963"/>
      <c r="F47" s="325"/>
    </row>
    <row r="48" spans="2:6" x14ac:dyDescent="0.2">
      <c r="B48" s="407" t="s">
        <v>24</v>
      </c>
      <c r="D48" s="960"/>
      <c r="E48" s="963"/>
      <c r="F48" s="325"/>
    </row>
    <row r="49" spans="2:6" x14ac:dyDescent="0.2">
      <c r="B49" s="407" t="s">
        <v>123</v>
      </c>
      <c r="D49" s="961"/>
      <c r="E49" s="964"/>
      <c r="F49" s="328"/>
    </row>
    <row r="50" spans="2:6" x14ac:dyDescent="0.2">
      <c r="B50" s="407" t="s">
        <v>390</v>
      </c>
    </row>
    <row r="51" spans="2:6" x14ac:dyDescent="0.2">
      <c r="B51" s="407" t="s">
        <v>27</v>
      </c>
    </row>
    <row r="52" spans="2:6" x14ac:dyDescent="0.2">
      <c r="B52" s="407" t="s">
        <v>772</v>
      </c>
    </row>
    <row r="53" spans="2:6" x14ac:dyDescent="0.2">
      <c r="B53" s="407" t="s">
        <v>126</v>
      </c>
    </row>
    <row r="54" spans="2:6" x14ac:dyDescent="0.2">
      <c r="B54" s="407" t="s">
        <v>137</v>
      </c>
    </row>
    <row r="55" spans="2:6" x14ac:dyDescent="0.2">
      <c r="B55" s="407" t="s">
        <v>266</v>
      </c>
    </row>
    <row r="56" spans="2:6" x14ac:dyDescent="0.2">
      <c r="B56" s="407" t="s">
        <v>253</v>
      </c>
    </row>
    <row r="57" spans="2:6" x14ac:dyDescent="0.2">
      <c r="B57" s="407" t="s">
        <v>22</v>
      </c>
    </row>
    <row r="58" spans="2:6" x14ac:dyDescent="0.2">
      <c r="B58" s="407" t="s">
        <v>572</v>
      </c>
    </row>
    <row r="59" spans="2:6" x14ac:dyDescent="0.2">
      <c r="B59" s="407" t="s">
        <v>448</v>
      </c>
    </row>
    <row r="60" spans="2:6" x14ac:dyDescent="0.2">
      <c r="B60" s="407" t="s">
        <v>265</v>
      </c>
    </row>
    <row r="61" spans="2:6" x14ac:dyDescent="0.2">
      <c r="B61" s="407" t="s">
        <v>747</v>
      </c>
    </row>
    <row r="62" spans="2:6" x14ac:dyDescent="0.2">
      <c r="B62" s="407" t="s">
        <v>289</v>
      </c>
    </row>
    <row r="63" spans="2:6" x14ac:dyDescent="0.2">
      <c r="B63" s="407" t="s">
        <v>166</v>
      </c>
    </row>
    <row r="64" spans="2:6" x14ac:dyDescent="0.2">
      <c r="B64" s="407" t="s">
        <v>743</v>
      </c>
    </row>
    <row r="65" spans="2:2" x14ac:dyDescent="0.2">
      <c r="B65" s="407" t="s">
        <v>745</v>
      </c>
    </row>
    <row r="66" spans="2:2" x14ac:dyDescent="0.2">
      <c r="B66" s="407" t="s">
        <v>271</v>
      </c>
    </row>
    <row r="67" spans="2:2" x14ac:dyDescent="0.2">
      <c r="B67" s="407" t="s">
        <v>245</v>
      </c>
    </row>
    <row r="68" spans="2:2" x14ac:dyDescent="0.2">
      <c r="B68" s="407" t="s">
        <v>4</v>
      </c>
    </row>
    <row r="69" spans="2:2" x14ac:dyDescent="0.2">
      <c r="B69" s="407" t="s">
        <v>548</v>
      </c>
    </row>
    <row r="70" spans="2:2" x14ac:dyDescent="0.2">
      <c r="B70" s="407" t="s">
        <v>578</v>
      </c>
    </row>
    <row r="71" spans="2:2" x14ac:dyDescent="0.2">
      <c r="B71" s="407" t="s">
        <v>774</v>
      </c>
    </row>
    <row r="72" spans="2:2" x14ac:dyDescent="0.2">
      <c r="B72" s="407" t="s">
        <v>781</v>
      </c>
    </row>
    <row r="73" spans="2:2" x14ac:dyDescent="0.2">
      <c r="B73" s="407" t="s">
        <v>532</v>
      </c>
    </row>
    <row r="74" spans="2:2" x14ac:dyDescent="0.2">
      <c r="B74" s="407" t="s">
        <v>381</v>
      </c>
    </row>
    <row r="75" spans="2:2" x14ac:dyDescent="0.2">
      <c r="B75" s="407" t="s">
        <v>380</v>
      </c>
    </row>
    <row r="76" spans="2:2" x14ac:dyDescent="0.2">
      <c r="B76" s="407" t="s">
        <v>382</v>
      </c>
    </row>
    <row r="77" spans="2:2" x14ac:dyDescent="0.2">
      <c r="B77" s="407" t="s">
        <v>342</v>
      </c>
    </row>
    <row r="78" spans="2:2" x14ac:dyDescent="0.2">
      <c r="B78" s="407" t="s">
        <v>346</v>
      </c>
    </row>
    <row r="79" spans="2:2" x14ac:dyDescent="0.2">
      <c r="B79" s="407" t="s">
        <v>325</v>
      </c>
    </row>
    <row r="80" spans="2:2" x14ac:dyDescent="0.2">
      <c r="B80" s="407" t="s">
        <v>324</v>
      </c>
    </row>
    <row r="81" spans="2:2" x14ac:dyDescent="0.2">
      <c r="B81" s="407" t="s">
        <v>323</v>
      </c>
    </row>
    <row r="82" spans="2:2" x14ac:dyDescent="0.2">
      <c r="B82" s="407" t="s">
        <v>534</v>
      </c>
    </row>
    <row r="83" spans="2:2" x14ac:dyDescent="0.2">
      <c r="B83" s="407" t="s">
        <v>73</v>
      </c>
    </row>
    <row r="84" spans="2:2" x14ac:dyDescent="0.2">
      <c r="B84" s="407" t="s">
        <v>259</v>
      </c>
    </row>
    <row r="85" spans="2:2" x14ac:dyDescent="0.2">
      <c r="B85" s="407" t="s">
        <v>613</v>
      </c>
    </row>
    <row r="86" spans="2:2" x14ac:dyDescent="0.2">
      <c r="B86" s="407" t="s">
        <v>246</v>
      </c>
    </row>
    <row r="87" spans="2:2" x14ac:dyDescent="0.2">
      <c r="B87" s="407" t="s">
        <v>730</v>
      </c>
    </row>
    <row r="88" spans="2:2" x14ac:dyDescent="0.2">
      <c r="B88" s="407" t="s">
        <v>440</v>
      </c>
    </row>
    <row r="89" spans="2:2" x14ac:dyDescent="0.2">
      <c r="B89" s="407" t="s">
        <v>243</v>
      </c>
    </row>
    <row r="90" spans="2:2" x14ac:dyDescent="0.2">
      <c r="B90" s="407" t="s">
        <v>256</v>
      </c>
    </row>
    <row r="91" spans="2:2" x14ac:dyDescent="0.2">
      <c r="B91" s="407" t="s">
        <v>602</v>
      </c>
    </row>
    <row r="92" spans="2:2" x14ac:dyDescent="0.2">
      <c r="B92" s="407" t="s">
        <v>122</v>
      </c>
    </row>
    <row r="93" spans="2:2" x14ac:dyDescent="0.2">
      <c r="B93" s="407" t="s">
        <v>254</v>
      </c>
    </row>
    <row r="94" spans="2:2" x14ac:dyDescent="0.2">
      <c r="B94" s="407" t="s">
        <v>242</v>
      </c>
    </row>
    <row r="95" spans="2:2" x14ac:dyDescent="0.2">
      <c r="B95" s="407" t="s">
        <v>343</v>
      </c>
    </row>
    <row r="96" spans="2:2" x14ac:dyDescent="0.2">
      <c r="B96" s="407" t="s">
        <v>762</v>
      </c>
    </row>
    <row r="97" spans="2:2" x14ac:dyDescent="0.2">
      <c r="B97" s="407" t="s">
        <v>726</v>
      </c>
    </row>
    <row r="98" spans="2:2" x14ac:dyDescent="0.2">
      <c r="B98" s="407" t="s">
        <v>502</v>
      </c>
    </row>
    <row r="99" spans="2:2" x14ac:dyDescent="0.2">
      <c r="B99" s="407" t="s">
        <v>503</v>
      </c>
    </row>
    <row r="100" spans="2:2" x14ac:dyDescent="0.2">
      <c r="B100" s="407" t="s">
        <v>504</v>
      </c>
    </row>
    <row r="101" spans="2:2" x14ac:dyDescent="0.2">
      <c r="B101" s="407" t="s">
        <v>758</v>
      </c>
    </row>
    <row r="102" spans="2:2" x14ac:dyDescent="0.2">
      <c r="B102" s="407" t="s">
        <v>727</v>
      </c>
    </row>
    <row r="103" spans="2:2" x14ac:dyDescent="0.2">
      <c r="B103" s="407" t="s">
        <v>547</v>
      </c>
    </row>
    <row r="104" spans="2:2" x14ac:dyDescent="0.2">
      <c r="B104" s="407" t="s">
        <v>165</v>
      </c>
    </row>
    <row r="105" spans="2:2" x14ac:dyDescent="0.2">
      <c r="B105" s="407" t="s">
        <v>779</v>
      </c>
    </row>
    <row r="106" spans="2:2" x14ac:dyDescent="0.2">
      <c r="B106" s="407" t="s">
        <v>778</v>
      </c>
    </row>
    <row r="107" spans="2:2" x14ac:dyDescent="0.2">
      <c r="B107" s="407" t="s">
        <v>773</v>
      </c>
    </row>
    <row r="108" spans="2:2" x14ac:dyDescent="0.2">
      <c r="B108" s="407" t="s">
        <v>780</v>
      </c>
    </row>
    <row r="109" spans="2:2" x14ac:dyDescent="0.2">
      <c r="B109" s="407" t="s">
        <v>804</v>
      </c>
    </row>
    <row r="110" spans="2:2" x14ac:dyDescent="0.2">
      <c r="B110" s="407" t="s">
        <v>163</v>
      </c>
    </row>
    <row r="111" spans="2:2" x14ac:dyDescent="0.2">
      <c r="B111" s="407" t="s">
        <v>139</v>
      </c>
    </row>
    <row r="112" spans="2:2" x14ac:dyDescent="0.2">
      <c r="B112" s="407" t="s">
        <v>164</v>
      </c>
    </row>
    <row r="113" spans="2:2" x14ac:dyDescent="0.2">
      <c r="B113" s="407" t="s">
        <v>124</v>
      </c>
    </row>
    <row r="114" spans="2:2" x14ac:dyDescent="0.2">
      <c r="B114" s="407" t="s">
        <v>248</v>
      </c>
    </row>
    <row r="115" spans="2:2" x14ac:dyDescent="0.2">
      <c r="B115" s="407" t="s">
        <v>284</v>
      </c>
    </row>
    <row r="116" spans="2:2" x14ac:dyDescent="0.2">
      <c r="B116" s="407" t="s">
        <v>136</v>
      </c>
    </row>
    <row r="117" spans="2:2" x14ac:dyDescent="0.2">
      <c r="B117" s="407" t="s">
        <v>125</v>
      </c>
    </row>
    <row r="118" spans="2:2" x14ac:dyDescent="0.2">
      <c r="B118" s="407" t="s">
        <v>771</v>
      </c>
    </row>
    <row r="119" spans="2:2" x14ac:dyDescent="0.2">
      <c r="B119" s="407" t="s">
        <v>738</v>
      </c>
    </row>
    <row r="120" spans="2:2" x14ac:dyDescent="0.2">
      <c r="B120" s="407" t="s">
        <v>742</v>
      </c>
    </row>
    <row r="121" spans="2:2" x14ac:dyDescent="0.2">
      <c r="B121" s="407" t="s">
        <v>241</v>
      </c>
    </row>
    <row r="122" spans="2:2" x14ac:dyDescent="0.2">
      <c r="B122" s="407" t="s">
        <v>611</v>
      </c>
    </row>
    <row r="123" spans="2:2" x14ac:dyDescent="0.2">
      <c r="B123" s="407" t="s">
        <v>328</v>
      </c>
    </row>
    <row r="124" spans="2:2" x14ac:dyDescent="0.2">
      <c r="B124" s="407" t="s">
        <v>782</v>
      </c>
    </row>
    <row r="125" spans="2:2" x14ac:dyDescent="0.2">
      <c r="B125" s="407" t="s">
        <v>783</v>
      </c>
    </row>
    <row r="126" spans="2:2" x14ac:dyDescent="0.2">
      <c r="B126" s="407" t="s">
        <v>75</v>
      </c>
    </row>
    <row r="127" spans="2:2" x14ac:dyDescent="0.2">
      <c r="B127" s="407" t="s">
        <v>718</v>
      </c>
    </row>
    <row r="128" spans="2:2" x14ac:dyDescent="0.2">
      <c r="B128" s="407" t="s">
        <v>719</v>
      </c>
    </row>
    <row r="129" spans="2:3" x14ac:dyDescent="0.2">
      <c r="B129" s="407" t="s">
        <v>162</v>
      </c>
    </row>
    <row r="130" spans="2:3" x14ac:dyDescent="0.2">
      <c r="B130" s="407" t="s">
        <v>160</v>
      </c>
    </row>
    <row r="131" spans="2:3" x14ac:dyDescent="0.2">
      <c r="B131" s="407" t="s">
        <v>247</v>
      </c>
    </row>
    <row r="132" spans="2:3" x14ac:dyDescent="0.2">
      <c r="B132" s="407" t="s">
        <v>764</v>
      </c>
    </row>
    <row r="133" spans="2:3" x14ac:dyDescent="0.2">
      <c r="B133" s="409" t="str">
        <f>"-----------------------------"</f>
        <v>-----------------------------</v>
      </c>
      <c r="C133" s="451"/>
    </row>
    <row r="134" spans="2:3" x14ac:dyDescent="0.2">
      <c r="B134" s="410" t="s">
        <v>450</v>
      </c>
      <c r="C134" s="452"/>
    </row>
    <row r="135" spans="2:3" x14ac:dyDescent="0.2">
      <c r="B135" s="407" t="str">
        <f>Formulary!B184</f>
        <v>Anaphylaxis</v>
      </c>
      <c r="C135" s="453"/>
    </row>
    <row r="136" spans="2:3" x14ac:dyDescent="0.2">
      <c r="B136" s="407" t="str">
        <f>Formulary!B185</f>
        <v>Antibiotics</v>
      </c>
      <c r="C136" s="457"/>
    </row>
    <row r="137" spans="2:3" x14ac:dyDescent="0.2">
      <c r="B137" s="407" t="s">
        <v>432</v>
      </c>
      <c r="C137" s="532"/>
    </row>
    <row r="138" spans="2:3" x14ac:dyDescent="0.2">
      <c r="B138" s="407" t="str">
        <f>Formulary!B187</f>
        <v>Bleeding</v>
      </c>
      <c r="C138" s="454"/>
    </row>
    <row r="139" spans="2:3" x14ac:dyDescent="0.2">
      <c r="B139" s="407" t="str">
        <f>Formulary!B188</f>
        <v>Cardiac arrest</v>
      </c>
      <c r="C139" s="455"/>
    </row>
    <row r="140" spans="2:3" x14ac:dyDescent="0.2">
      <c r="B140" s="407" t="str">
        <f>Formulary!B189</f>
        <v>Cardiac drugs</v>
      </c>
      <c r="C140" s="471"/>
    </row>
    <row r="141" spans="2:3" x14ac:dyDescent="0.2">
      <c r="B141" s="407" t="s">
        <v>331</v>
      </c>
      <c r="C141" s="456"/>
    </row>
    <row r="142" spans="2:3" x14ac:dyDescent="0.2">
      <c r="B142" s="407" t="str">
        <f>Formulary!B190</f>
        <v>Other drugs</v>
      </c>
      <c r="C142" s="472"/>
    </row>
    <row r="143" spans="2:3" x14ac:dyDescent="0.2">
      <c r="B143" s="407" t="str">
        <f>Formulary!B192</f>
        <v>Hypotension and shock</v>
      </c>
      <c r="C143" s="469"/>
    </row>
    <row r="144" spans="2:3" x14ac:dyDescent="0.2">
      <c r="B144" s="407" t="str">
        <f>Formulary!B193</f>
        <v>Infusions</v>
      </c>
      <c r="C144" s="458"/>
    </row>
    <row r="145" spans="2:3" x14ac:dyDescent="0.2">
      <c r="B145" s="407" t="s">
        <v>156</v>
      </c>
      <c r="C145" s="459"/>
    </row>
    <row r="146" spans="2:3" x14ac:dyDescent="0.2">
      <c r="B146" s="407" t="s">
        <v>512</v>
      </c>
      <c r="C146" s="533"/>
    </row>
    <row r="147" spans="2:3" x14ac:dyDescent="0.2">
      <c r="B147" s="407" t="str">
        <f>Formulary!B196</f>
        <v>Raised ICP</v>
      </c>
      <c r="C147" s="470"/>
    </row>
    <row r="148" spans="2:3" x14ac:dyDescent="0.2">
      <c r="B148" s="407" t="str">
        <f>Formulary!B197</f>
        <v>Respiratory drugs</v>
      </c>
      <c r="C148" s="531"/>
    </row>
    <row r="149" spans="2:3" x14ac:dyDescent="0.2">
      <c r="B149" s="407" t="str">
        <f>Formulary!B198</f>
        <v>Reversal agents</v>
      </c>
      <c r="C149" s="672"/>
    </row>
    <row r="150" spans="2:3" x14ac:dyDescent="0.2">
      <c r="B150" s="407" t="str">
        <f>Formulary!B199</f>
        <v>RSI</v>
      </c>
      <c r="C150" s="460"/>
    </row>
    <row r="151" spans="2:3" x14ac:dyDescent="0.2">
      <c r="B151" s="407" t="str">
        <f>Formulary!B200</f>
        <v>Seizure</v>
      </c>
      <c r="C151" s="473"/>
    </row>
    <row r="152" spans="2:3" x14ac:dyDescent="0.2">
      <c r="B152" s="407" t="str">
        <f>Formulary!B201</f>
        <v>Sepsis</v>
      </c>
      <c r="C152" s="461"/>
    </row>
    <row r="153" spans="2:3" x14ac:dyDescent="0.2">
      <c r="B153" s="407" t="str">
        <f>Formulary!B202</f>
        <v>Status Epilepticus</v>
      </c>
      <c r="C153" s="462"/>
    </row>
    <row r="154" spans="2:3" x14ac:dyDescent="0.2">
      <c r="B154" s="407" t="str">
        <f>Formulary!B203</f>
        <v>Trauma</v>
      </c>
      <c r="C154" s="530"/>
    </row>
    <row r="155" spans="2:3" x14ac:dyDescent="0.2">
      <c r="B155" s="407" t="str">
        <f>Formulary!B204</f>
        <v>Enter Custom Heading 1</v>
      </c>
      <c r="C155" s="463"/>
    </row>
    <row r="156" spans="2:3" x14ac:dyDescent="0.2">
      <c r="B156" s="407" t="str">
        <f>Formulary!B205</f>
        <v>Enter Custom Heading 2</v>
      </c>
      <c r="C156" s="464"/>
    </row>
    <row r="157" spans="2:3" x14ac:dyDescent="0.2">
      <c r="B157" s="407" t="str">
        <f>Formulary!B206</f>
        <v>Enter Custom Heading 3</v>
      </c>
      <c r="C157" s="465"/>
    </row>
    <row r="158" spans="2:3" x14ac:dyDescent="0.2">
      <c r="B158" s="407" t="str">
        <f>Formulary!B207</f>
        <v>Enter Custom Heading 4</v>
      </c>
      <c r="C158" s="466"/>
    </row>
    <row r="159" spans="2:3" x14ac:dyDescent="0.2">
      <c r="B159" s="407" t="str">
        <f>Formulary!B208</f>
        <v>Enter Custom Heading 5</v>
      </c>
      <c r="C159" s="467"/>
    </row>
    <row r="160" spans="2:3" x14ac:dyDescent="0.2">
      <c r="B160" s="407" t="str">
        <f>Formulary!B209</f>
        <v>Enter Custom Heading 6</v>
      </c>
      <c r="C160" s="468"/>
    </row>
    <row r="161" spans="2:3" x14ac:dyDescent="0.2">
      <c r="B161" s="407" t="str">
        <f>Formulary!B210</f>
        <v>Enter Custom Heading 7</v>
      </c>
      <c r="C161" s="476"/>
    </row>
    <row r="162" spans="2:3" x14ac:dyDescent="0.2">
      <c r="B162" s="407" t="str">
        <f>Formulary!B211</f>
        <v>Enter Custom Heading 8</v>
      </c>
      <c r="C162" s="475"/>
    </row>
    <row r="163" spans="2:3" x14ac:dyDescent="0.2">
      <c r="B163" s="411" t="str">
        <f>"------------------------------"</f>
        <v>------------------------------</v>
      </c>
    </row>
    <row r="164" spans="2:3" x14ac:dyDescent="0.2">
      <c r="B164" s="412" t="s">
        <v>451</v>
      </c>
    </row>
    <row r="165" spans="2:3" x14ac:dyDescent="0.2">
      <c r="B165" s="406" t="str">
        <f>Formulary!B217</f>
        <v>Operator</v>
      </c>
    </row>
    <row r="166" spans="2:3" x14ac:dyDescent="0.2">
      <c r="B166" s="407" t="str">
        <f>Formulary!B218</f>
        <v>Blood Bank</v>
      </c>
    </row>
    <row r="167" spans="2:3" x14ac:dyDescent="0.2">
      <c r="B167" s="407" t="str">
        <f>Formulary!B219</f>
        <v>Anaesthetics</v>
      </c>
    </row>
    <row r="168" spans="2:3" x14ac:dyDescent="0.2">
      <c r="B168" s="407" t="str">
        <f>Formulary!B220</f>
        <v>ORL/ENT</v>
      </c>
    </row>
    <row r="169" spans="2:3" x14ac:dyDescent="0.2">
      <c r="B169" s="407" t="str">
        <f>Formulary!B221</f>
        <v>ICU</v>
      </c>
    </row>
    <row r="170" spans="2:3" x14ac:dyDescent="0.2">
      <c r="B170" s="407" t="str">
        <f>Formulary!B222</f>
        <v>NICU</v>
      </c>
    </row>
    <row r="171" spans="2:3" x14ac:dyDescent="0.2">
      <c r="B171" s="407" t="str">
        <f>Formulary!B223</f>
        <v>Paediatrics</v>
      </c>
    </row>
    <row r="172" spans="2:3" x14ac:dyDescent="0.2">
      <c r="B172" s="407" t="str">
        <f>Formulary!B224</f>
        <v>ED SMO</v>
      </c>
    </row>
    <row r="173" spans="2:3" x14ac:dyDescent="0.2">
      <c r="B173" s="407" t="str">
        <f>Formulary!B225</f>
        <v>Surgeon</v>
      </c>
    </row>
    <row r="174" spans="2:3" x14ac:dyDescent="0.2">
      <c r="B174" s="407" t="str">
        <f>Formulary!B226</f>
        <v>Custom Phone 1</v>
      </c>
    </row>
    <row r="175" spans="2:3" x14ac:dyDescent="0.2">
      <c r="B175" s="407" t="str">
        <f>Formulary!B227</f>
        <v>Custom Phone 2</v>
      </c>
    </row>
    <row r="176" spans="2:3" x14ac:dyDescent="0.2">
      <c r="B176" s="407" t="str">
        <f>Formulary!B228</f>
        <v>Custom Phone 3</v>
      </c>
    </row>
    <row r="177" spans="2:2" x14ac:dyDescent="0.2">
      <c r="B177" s="407" t="str">
        <f>Formulary!B229</f>
        <v>Custom Phone 4</v>
      </c>
    </row>
    <row r="178" spans="2:2" x14ac:dyDescent="0.2">
      <c r="B178" s="529"/>
    </row>
    <row r="179" spans="2:2" x14ac:dyDescent="0.2">
      <c r="B179" s="408"/>
    </row>
    <row r="180" spans="2:2" x14ac:dyDescent="0.2">
      <c r="B180" s="334"/>
    </row>
    <row r="181" spans="2:2" x14ac:dyDescent="0.2">
      <c r="B181" s="334"/>
    </row>
    <row r="182" spans="2:2" x14ac:dyDescent="0.2">
      <c r="B182" s="334"/>
    </row>
    <row r="183" spans="2:2" x14ac:dyDescent="0.2">
      <c r="B183" s="334"/>
    </row>
    <row r="184" spans="2:2" x14ac:dyDescent="0.2">
      <c r="B184" s="334"/>
    </row>
    <row r="185" spans="2:2" x14ac:dyDescent="0.2">
      <c r="B185" s="334"/>
    </row>
    <row r="186" spans="2:2" x14ac:dyDescent="0.2">
      <c r="B186" s="334"/>
    </row>
    <row r="187" spans="2:2" x14ac:dyDescent="0.2">
      <c r="B187" s="334"/>
    </row>
    <row r="188" spans="2:2" x14ac:dyDescent="0.2">
      <c r="B188" s="334"/>
    </row>
  </sheetData>
  <sheetProtection algorithmName="SHA-512" hashValue="dHvz3CVps3/dCtpzipAzfPak6Pl/qlHZKscoPHna3w36bJdzvhzdkc1VSq8bA9o8sNbcrak7Wh/mpA/7e/eTPw==" saltValue="x8PQ2wlnAXzsDDZpmzUtKQ==" spinCount="100000" sheet="1" objects="1" scenarios="1" selectLockedCells="1" selectUnlockedCells="1"/>
  <sortState xmlns:xlrd2="http://schemas.microsoft.com/office/spreadsheetml/2017/richdata2" ref="B2:B132">
    <sortCondition ref="B132"/>
  </sortState>
  <mergeCells count="2">
    <mergeCell ref="D2:D49"/>
    <mergeCell ref="E2:E49"/>
  </mergeCells>
  <pageMargins left="0.7" right="0.7" top="0.75" bottom="0.75" header="0.3" footer="0.3"/>
  <pageSetup paperSize="9"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752E-744C-AB48-8907-A88B2811B1F9}">
  <sheetPr codeName="Sheet6">
    <tabColor theme="7" tint="0.59999389629810485"/>
  </sheetPr>
  <dimension ref="B1:N49"/>
  <sheetViews>
    <sheetView workbookViewId="0"/>
  </sheetViews>
  <sheetFormatPr baseColWidth="10" defaultColWidth="10.83203125" defaultRowHeight="15" x14ac:dyDescent="0.2"/>
  <cols>
    <col min="1" max="1" width="10.83203125" style="54"/>
    <col min="2" max="2" width="26.83203125" style="54" customWidth="1"/>
    <col min="3" max="3" width="23.33203125" style="54" customWidth="1"/>
    <col min="4" max="6" width="29.83203125" style="54" customWidth="1"/>
    <col min="7" max="7" width="21.1640625" style="54" customWidth="1"/>
    <col min="8" max="8" width="25.5" style="54" customWidth="1"/>
    <col min="9" max="9" width="19.5" style="54" customWidth="1"/>
    <col min="10" max="10" width="23.83203125" style="54" customWidth="1"/>
    <col min="11" max="11" width="33.5" style="54" customWidth="1"/>
    <col min="12" max="12" width="10.83203125" style="54" customWidth="1"/>
    <col min="13" max="16384" width="10.83203125" style="54"/>
  </cols>
  <sheetData>
    <row r="1" spans="2:14" ht="30" customHeight="1" thickBot="1" x14ac:dyDescent="0.25"/>
    <row r="2" spans="2:14" ht="30" customHeight="1" thickBot="1" x14ac:dyDescent="0.25">
      <c r="B2" s="965" t="str">
        <f ca="1">IFERROR(IF($C$10="VPJCRJHHE","Activated",IF($F$17=TRUE,IF($D$17=TRUE,"Activated","Expired"),"Expired")),"Expired")</f>
        <v>Activated</v>
      </c>
      <c r="C2" s="966"/>
      <c r="D2" s="84">
        <f ca="1">IF(B2="Activated",1,0)</f>
        <v>1</v>
      </c>
      <c r="E2" s="56"/>
      <c r="F2" s="56"/>
      <c r="M2" s="6" t="s">
        <v>589</v>
      </c>
      <c r="N2" s="6"/>
    </row>
    <row r="3" spans="2:14" ht="30" customHeight="1" thickBot="1" x14ac:dyDescent="0.25">
      <c r="M3" s="102" t="s">
        <v>590</v>
      </c>
      <c r="N3" s="102">
        <v>0</v>
      </c>
    </row>
    <row r="4" spans="2:14" ht="30" customHeight="1" thickBot="1" x14ac:dyDescent="0.25">
      <c r="B4" s="85" t="s">
        <v>107</v>
      </c>
      <c r="C4" s="84" t="b">
        <f>UPPER(LEFT($C$6,5))="TRIAL"</f>
        <v>0</v>
      </c>
      <c r="M4" s="102" t="s">
        <v>591</v>
      </c>
      <c r="N4" s="102">
        <v>1</v>
      </c>
    </row>
    <row r="5" spans="2:14" ht="30" customHeight="1" thickBot="1" x14ac:dyDescent="0.25">
      <c r="B5" s="56"/>
      <c r="C5" s="56"/>
      <c r="M5" s="102" t="s">
        <v>592</v>
      </c>
      <c r="N5" s="102">
        <v>2</v>
      </c>
    </row>
    <row r="6" spans="2:14" ht="30" customHeight="1" thickBot="1" x14ac:dyDescent="0.25">
      <c r="B6" s="86" t="s">
        <v>105</v>
      </c>
      <c r="C6" s="102" t="str">
        <f>Admin!$U$3</f>
        <v>EXTND62904002</v>
      </c>
      <c r="M6" s="102" t="s">
        <v>593</v>
      </c>
      <c r="N6" s="102">
        <v>3</v>
      </c>
    </row>
    <row r="7" spans="2:14" ht="30" customHeight="1" thickBot="1" x14ac:dyDescent="0.25">
      <c r="B7" s="56"/>
      <c r="C7" s="56"/>
      <c r="M7" s="102" t="s">
        <v>594</v>
      </c>
      <c r="N7" s="102">
        <v>4</v>
      </c>
    </row>
    <row r="8" spans="2:14" ht="30" customHeight="1" thickBot="1" x14ac:dyDescent="0.25">
      <c r="B8" s="87" t="s">
        <v>600</v>
      </c>
      <c r="C8" s="84">
        <f>IFERROR(VALUE(VLOOKUP(LEFT($C$10,1),PinHex,2,FALSE)&amp;VLOOKUP(MID($C$10,2,1),PinHex,2,FALSE)&amp;VLOOKUP(MID($C$10,3,1),PinHex,2,FALSE)&amp;VLOOKUP(MID($C$10,4,1),PinHex,2,FALSE)&amp;VLOOKUP(RIGHT($C$10,1),PinHex,2,FALSE)),0)</f>
        <v>90400</v>
      </c>
      <c r="D8" s="88" t="s">
        <v>116</v>
      </c>
      <c r="M8" s="102" t="s">
        <v>595</v>
      </c>
      <c r="N8" s="102">
        <v>5</v>
      </c>
    </row>
    <row r="9" spans="2:14" ht="30" customHeight="1" thickBot="1" x14ac:dyDescent="0.25">
      <c r="B9" s="56"/>
      <c r="C9" s="56"/>
      <c r="M9" s="102" t="s">
        <v>596</v>
      </c>
      <c r="N9" s="102">
        <v>6</v>
      </c>
    </row>
    <row r="10" spans="2:14" ht="30" customHeight="1" thickBot="1" x14ac:dyDescent="0.25">
      <c r="B10" s="87" t="s">
        <v>601</v>
      </c>
      <c r="C10" s="84" t="str">
        <f>Admin!$U$4</f>
        <v>PSESS</v>
      </c>
      <c r="D10" s="88" t="s">
        <v>116</v>
      </c>
      <c r="E10" s="56"/>
      <c r="F10" s="56"/>
      <c r="M10" s="102" t="s">
        <v>597</v>
      </c>
      <c r="N10" s="102">
        <v>7</v>
      </c>
    </row>
    <row r="11" spans="2:14" ht="30" customHeight="1" thickBot="1" x14ac:dyDescent="0.25">
      <c r="B11" s="56"/>
      <c r="C11" s="56"/>
      <c r="M11" s="102" t="s">
        <v>598</v>
      </c>
      <c r="N11" s="102">
        <v>8</v>
      </c>
    </row>
    <row r="12" spans="2:14" ht="30" customHeight="1" thickBot="1" x14ac:dyDescent="0.25">
      <c r="B12" s="87" t="s">
        <v>114</v>
      </c>
      <c r="C12" s="84">
        <f>VALUE(RIGHT(ROUND((((LEN($C$6)*RIGHT($C$6,4)*MID($C$6,6,4))/7812)*CODE($C$6)),0),5))</f>
        <v>90400</v>
      </c>
      <c r="D12" s="88" t="s">
        <v>116</v>
      </c>
      <c r="E12" s="56"/>
      <c r="F12" s="56"/>
      <c r="M12" s="102" t="s">
        <v>599</v>
      </c>
      <c r="N12" s="102">
        <v>9</v>
      </c>
    </row>
    <row r="13" spans="2:14" ht="30" customHeight="1" thickBot="1" x14ac:dyDescent="0.25">
      <c r="B13" s="56"/>
      <c r="C13" s="56"/>
      <c r="N13" s="450" t="s">
        <v>116</v>
      </c>
    </row>
    <row r="14" spans="2:14" ht="30" customHeight="1" thickBot="1" x14ac:dyDescent="0.25">
      <c r="B14" s="94" t="s">
        <v>110</v>
      </c>
      <c r="C14" s="84">
        <f>VALUE(20&amp;MID(C6,7,1)&amp;MID(C6,6,1))</f>
        <v>2026</v>
      </c>
    </row>
    <row r="15" spans="2:14" ht="30" customHeight="1" thickBot="1" x14ac:dyDescent="0.25"/>
    <row r="16" spans="2:14" ht="44" customHeight="1" thickBot="1" x14ac:dyDescent="0.25">
      <c r="B16" s="89"/>
      <c r="C16" s="90" t="s">
        <v>106</v>
      </c>
      <c r="D16" s="105" t="s">
        <v>118</v>
      </c>
      <c r="E16" s="90" t="s">
        <v>111</v>
      </c>
      <c r="F16" s="90" t="s">
        <v>117</v>
      </c>
      <c r="G16" s="90" t="s">
        <v>108</v>
      </c>
      <c r="H16" s="967" t="s">
        <v>113</v>
      </c>
      <c r="I16" s="968"/>
      <c r="J16" s="969" t="s">
        <v>115</v>
      </c>
      <c r="K16" s="968"/>
    </row>
    <row r="17" spans="2:11" ht="30" customHeight="1" thickBot="1" x14ac:dyDescent="0.25">
      <c r="B17" s="93"/>
      <c r="C17" s="84" t="b">
        <f>C4</f>
        <v>0</v>
      </c>
      <c r="D17" s="84" t="b">
        <f>IFERROR(IF(($C$8=$C$12),TRUE,FALSE),FALSE)</f>
        <v>1</v>
      </c>
      <c r="E17" s="84" t="b">
        <f ca="1">IF(YEAR(TODAY())&lt;=$C$14,TRUE,FALSE)</f>
        <v>1</v>
      </c>
      <c r="F17" s="84" t="b">
        <f ca="1">IFERROR(IF(TODAY()&lt;=$J$17,TRUE,FALSE),FALSE)</f>
        <v>1</v>
      </c>
      <c r="G17" s="84">
        <f ca="1">MONTH(TODAY())</f>
        <v>8</v>
      </c>
      <c r="H17" s="84">
        <f>VALUE(RIGHT($C$6,2))</f>
        <v>2</v>
      </c>
      <c r="I17" s="84" t="str">
        <f>TEXT($H$17*29,"mmmm")</f>
        <v>February</v>
      </c>
      <c r="J17" s="103">
        <f>DATE($C$14,$H$17,1)</f>
        <v>46054</v>
      </c>
      <c r="K17" s="104">
        <f ca="1">($J$17-TODAY())</f>
        <v>154</v>
      </c>
    </row>
    <row r="18" spans="2:11" ht="30" customHeight="1" x14ac:dyDescent="0.2">
      <c r="B18" s="91"/>
      <c r="C18" s="92"/>
      <c r="D18" s="92"/>
      <c r="E18" s="92"/>
      <c r="F18" s="92"/>
      <c r="G18" s="92"/>
      <c r="H18" s="92"/>
    </row>
    <row r="19" spans="2:11" ht="30" customHeight="1" x14ac:dyDescent="0.2">
      <c r="B19" s="970" t="str">
        <f ca="1">IF($D$2=0,"Subscription Expired", IF($C$4=FALSE,IF($K$17&lt;=60,"Subscription will end in "&amp;$K$17&amp;" days",""),IF($F$17=TRUE,"Trial period will end on "&amp;TEXT($J$17,"dd mmmm yyyy"),"Trial period expired")))</f>
        <v/>
      </c>
      <c r="C19" s="971"/>
      <c r="D19" s="972"/>
      <c r="E19" s="56"/>
      <c r="F19" s="56"/>
      <c r="G19" s="56"/>
      <c r="H19" s="56"/>
    </row>
    <row r="20" spans="2:11" ht="30" customHeight="1" x14ac:dyDescent="0.2"/>
    <row r="21" spans="2:11" ht="30" customHeight="1" x14ac:dyDescent="0.2"/>
    <row r="22" spans="2:11" ht="30" customHeight="1" x14ac:dyDescent="0.2"/>
    <row r="23" spans="2:11" ht="30" customHeight="1" x14ac:dyDescent="0.2"/>
    <row r="24" spans="2:11" ht="30" customHeight="1" x14ac:dyDescent="0.2"/>
    <row r="25" spans="2:11" ht="30" customHeight="1" x14ac:dyDescent="0.2"/>
    <row r="26" spans="2:11" ht="30" customHeight="1" x14ac:dyDescent="0.2"/>
    <row r="27" spans="2:11" ht="30" customHeight="1" x14ac:dyDescent="0.2"/>
    <row r="28" spans="2:11" ht="30" customHeight="1" x14ac:dyDescent="0.2"/>
    <row r="29" spans="2:11" ht="30" customHeight="1" x14ac:dyDescent="0.2"/>
    <row r="30" spans="2:11" ht="30" customHeight="1" x14ac:dyDescent="0.2"/>
    <row r="31" spans="2:11" ht="30" customHeight="1" x14ac:dyDescent="0.2"/>
    <row r="32" spans="2:11"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row r="42" ht="30" customHeight="1" x14ac:dyDescent="0.2"/>
    <row r="43" ht="30" customHeight="1" x14ac:dyDescent="0.2"/>
    <row r="44" ht="30" customHeight="1" x14ac:dyDescent="0.2"/>
    <row r="45" ht="30" customHeight="1" x14ac:dyDescent="0.2"/>
    <row r="46" ht="30" customHeight="1" x14ac:dyDescent="0.2"/>
    <row r="47" ht="30" customHeight="1" x14ac:dyDescent="0.2"/>
    <row r="48" ht="30" customHeight="1" x14ac:dyDescent="0.2"/>
    <row r="49" ht="30" customHeight="1" x14ac:dyDescent="0.2"/>
  </sheetData>
  <sheetProtection algorithmName="SHA-512" hashValue="zhX2tgXVMSAiQsFTVmyZ1CE4tqTnHOJ7J5KRgjZk9ZZpa6qdOFtjt16b2/i96W8ybi0Zp2o8GmUYgLsMBed/4g==" saltValue="aDNH60jKnMsdsbMmTCdgrQ==" spinCount="100000" sheet="1" objects="1" scenarios="1" selectLockedCells="1" selectUnlockedCells="1"/>
  <mergeCells count="4">
    <mergeCell ref="B2:C2"/>
    <mergeCell ref="H16:I16"/>
    <mergeCell ref="J16:K16"/>
    <mergeCell ref="B19:D19"/>
  </mergeCells>
  <conditionalFormatting sqref="B2:C2">
    <cfRule type="cellIs" dxfId="11" priority="7" operator="equal">
      <formula>"Expired"</formula>
    </cfRule>
    <cfRule type="cellIs" dxfId="10" priority="8" operator="equal">
      <formula>"Activated"</formula>
    </cfRule>
  </conditionalFormatting>
  <conditionalFormatting sqref="C8">
    <cfRule type="expression" dxfId="9" priority="1">
      <formula>$D$8="Hide"</formula>
    </cfRule>
  </conditionalFormatting>
  <conditionalFormatting sqref="C10">
    <cfRule type="expression" dxfId="8" priority="6">
      <formula>$D$10="Hide"</formula>
    </cfRule>
  </conditionalFormatting>
  <conditionalFormatting sqref="C12">
    <cfRule type="expression" dxfId="7" priority="4">
      <formula>$D$12="Hide"</formula>
    </cfRule>
  </conditionalFormatting>
  <conditionalFormatting sqref="M3:N12">
    <cfRule type="expression" dxfId="6" priority="2">
      <formula>$N$13="Hide"</formula>
    </cfRule>
  </conditionalFormatting>
  <dataValidations count="2">
    <dataValidation type="list" allowBlank="1" showInputMessage="1" showErrorMessage="1" sqref="D10 D12" xr:uid="{16ED66D9-5CFD-8D47-B75B-BC1438BFB767}">
      <formula1>"Hide, Unhide"</formula1>
    </dataValidation>
    <dataValidation type="list" allowBlank="1" showInputMessage="1" showErrorMessage="1" sqref="N13 D8" xr:uid="{37BC0F3C-A0DD-C54A-8C87-D39B934BB4F9}">
      <formula1>"Hide,Unhide"</formula1>
    </dataValidation>
  </dataValidations>
  <pageMargins left="0.7" right="0.7" top="0.75" bottom="0.75" header="0.3" footer="0.3"/>
  <pageSetup paperSize="9"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71891-5B2D-2A41-B7FF-89FA038F60CB}">
  <sheetPr codeName="Sheet12">
    <tabColor rgb="FFFF2F92"/>
  </sheetPr>
  <dimension ref="B1:AD113"/>
  <sheetViews>
    <sheetView zoomScale="70" zoomScaleNormal="70" workbookViewId="0">
      <pane xSplit="2" ySplit="6" topLeftCell="C7" activePane="bottomRight" state="frozen"/>
      <selection pane="topRight" activeCell="C1" sqref="C1"/>
      <selection pane="bottomLeft" activeCell="A6" sqref="A6"/>
      <selection pane="bottomRight"/>
    </sheetView>
  </sheetViews>
  <sheetFormatPr baseColWidth="10" defaultColWidth="10.83203125" defaultRowHeight="15" x14ac:dyDescent="0.2"/>
  <cols>
    <col min="1" max="1" width="10.83203125" style="599"/>
    <col min="2" max="3" width="28.83203125" style="599" customWidth="1"/>
    <col min="4" max="4" width="6.83203125" style="599" customWidth="1"/>
    <col min="5" max="19" width="40.83203125" style="599" customWidth="1"/>
    <col min="20" max="20" width="5.83203125" style="599" customWidth="1"/>
    <col min="21" max="30" width="40.83203125" style="599" customWidth="1"/>
    <col min="31" max="42" width="28.83203125" style="599" customWidth="1"/>
    <col min="43" max="16384" width="10.83203125" style="599"/>
  </cols>
  <sheetData>
    <row r="1" spans="2:30" ht="26" customHeight="1" x14ac:dyDescent="0.2"/>
    <row r="2" spans="2:30" ht="26" customHeight="1" x14ac:dyDescent="0.2">
      <c r="B2" s="600" t="s">
        <v>618</v>
      </c>
      <c r="C2" s="600"/>
      <c r="D2" s="600"/>
      <c r="E2" s="601" t="s">
        <v>669</v>
      </c>
      <c r="F2" s="602" t="str">
        <f>Admin!$U$3</f>
        <v>EXTND62904002</v>
      </c>
      <c r="G2" s="603" t="s">
        <v>671</v>
      </c>
      <c r="H2" s="602">
        <f ca="1">Backend!D2</f>
        <v>1</v>
      </c>
    </row>
    <row r="3" spans="2:30" ht="26" customHeight="1" x14ac:dyDescent="0.2">
      <c r="E3" s="601" t="s">
        <v>670</v>
      </c>
      <c r="F3" s="602" t="str">
        <f>LEFT($F$2,5)</f>
        <v>EXTND</v>
      </c>
    </row>
    <row r="4" spans="2:30" ht="26" customHeight="1" thickBot="1" x14ac:dyDescent="0.25"/>
    <row r="5" spans="2:30" ht="52" customHeight="1" thickBot="1" x14ac:dyDescent="0.25">
      <c r="E5" s="973" t="s">
        <v>713</v>
      </c>
      <c r="F5" s="974"/>
      <c r="G5" s="974"/>
      <c r="H5" s="974"/>
      <c r="I5" s="974"/>
      <c r="J5" s="974"/>
      <c r="K5" s="974"/>
      <c r="L5" s="974"/>
      <c r="M5" s="974"/>
      <c r="N5" s="974"/>
      <c r="O5" s="974"/>
      <c r="P5" s="974"/>
      <c r="Q5" s="974"/>
      <c r="R5" s="974"/>
      <c r="S5" s="975"/>
      <c r="T5" s="604"/>
      <c r="U5" s="976" t="s">
        <v>714</v>
      </c>
      <c r="V5" s="977"/>
      <c r="W5" s="977"/>
      <c r="X5" s="977"/>
      <c r="Y5" s="977"/>
      <c r="Z5" s="977"/>
      <c r="AA5" s="977"/>
      <c r="AB5" s="977"/>
      <c r="AC5" s="977"/>
      <c r="AD5" s="978"/>
    </row>
    <row r="6" spans="2:30" ht="26" customHeight="1" x14ac:dyDescent="0.2">
      <c r="B6" s="605" t="s">
        <v>615</v>
      </c>
      <c r="C6" s="606" t="s">
        <v>621</v>
      </c>
      <c r="D6" s="607"/>
      <c r="E6" s="608" t="s">
        <v>792</v>
      </c>
      <c r="F6" s="608" t="s">
        <v>623</v>
      </c>
      <c r="G6" s="608" t="s">
        <v>814</v>
      </c>
      <c r="H6" s="608" t="s">
        <v>624</v>
      </c>
      <c r="I6" s="608" t="s">
        <v>786</v>
      </c>
      <c r="J6" s="608" t="s">
        <v>777</v>
      </c>
      <c r="K6" s="608" t="s">
        <v>776</v>
      </c>
      <c r="L6" s="608" t="s">
        <v>619</v>
      </c>
      <c r="M6" s="608" t="s">
        <v>787</v>
      </c>
      <c r="N6" s="608"/>
      <c r="O6" s="608"/>
      <c r="P6" s="608"/>
      <c r="Q6" s="608"/>
      <c r="R6" s="608"/>
      <c r="S6" s="608"/>
      <c r="T6" s="609"/>
      <c r="U6" s="610" t="s">
        <v>672</v>
      </c>
      <c r="V6" s="610" t="s">
        <v>619</v>
      </c>
      <c r="W6" s="610"/>
      <c r="X6" s="610"/>
      <c r="Y6" s="610"/>
      <c r="Z6" s="610"/>
      <c r="AA6" s="610"/>
      <c r="AB6" s="610"/>
      <c r="AC6" s="610"/>
      <c r="AD6" s="611"/>
    </row>
    <row r="7" spans="2:30" ht="26" customHeight="1" x14ac:dyDescent="0.2">
      <c r="B7" s="612" t="s">
        <v>668</v>
      </c>
      <c r="C7" s="613"/>
      <c r="D7" s="614"/>
      <c r="E7" s="615"/>
      <c r="F7" s="615"/>
      <c r="G7" s="615"/>
      <c r="H7" s="615"/>
      <c r="I7" s="615"/>
      <c r="J7" s="615"/>
      <c r="K7" s="615"/>
      <c r="L7" s="615"/>
      <c r="M7" s="615"/>
      <c r="N7" s="615"/>
      <c r="O7" s="615"/>
      <c r="P7" s="615"/>
      <c r="Q7" s="615"/>
      <c r="R7" s="615"/>
      <c r="S7" s="615"/>
      <c r="T7" s="616"/>
      <c r="U7" s="617" t="s">
        <v>672</v>
      </c>
      <c r="V7" s="615"/>
      <c r="W7" s="615"/>
      <c r="X7" s="615"/>
      <c r="Y7" s="615"/>
      <c r="Z7" s="615"/>
      <c r="AA7" s="615"/>
      <c r="AB7" s="615"/>
      <c r="AC7" s="615"/>
      <c r="AD7" s="618"/>
    </row>
    <row r="8" spans="2:30" ht="26" customHeight="1" x14ac:dyDescent="0.2">
      <c r="B8" s="619" t="str">
        <f>"HLOOKUP ROW --&gt;"</f>
        <v>HLOOKUP ROW --&gt;</v>
      </c>
      <c r="C8" s="613"/>
      <c r="D8" s="614"/>
      <c r="E8" s="615" t="str">
        <f>IF(OR(Admin!$U$5='Dept Configs'!E$6,Admin!$U$5="-----------"),"Yes","No")</f>
        <v>No</v>
      </c>
      <c r="F8" s="615" t="str">
        <f>IF(Admin!$U$5='Dept Configs'!F$6,"Yes","No")</f>
        <v>Yes</v>
      </c>
      <c r="G8" s="615" t="str">
        <f>IF(Admin!$U$5='Dept Configs'!G$6,"Yes","No")</f>
        <v>No</v>
      </c>
      <c r="H8" s="615" t="str">
        <f>IF(Admin!$U$5='Dept Configs'!H$6,"Yes","No")</f>
        <v>No</v>
      </c>
      <c r="I8" s="615" t="str">
        <f>IF(Admin!$U$5='Dept Configs'!I$6,"Yes","No")</f>
        <v>No</v>
      </c>
      <c r="J8" s="615" t="str">
        <f>IF(Admin!$U$5='Dept Configs'!J$6,"Yes","No")</f>
        <v>No</v>
      </c>
      <c r="K8" s="615" t="str">
        <f>IF(Admin!$U$5='Dept Configs'!K$6,"Yes","No")</f>
        <v>No</v>
      </c>
      <c r="L8" s="615" t="str">
        <f>IF(Admin!$U$5='Dept Configs'!L$6,"Yes","No")</f>
        <v>No</v>
      </c>
      <c r="M8" s="615" t="str">
        <f>IF(Admin!$U$5='Dept Configs'!M$6,"Yes","No")</f>
        <v>No</v>
      </c>
      <c r="N8" s="615"/>
      <c r="O8" s="615"/>
      <c r="P8" s="615"/>
      <c r="Q8" s="615"/>
      <c r="R8" s="615"/>
      <c r="S8" s="615"/>
      <c r="T8" s="616"/>
      <c r="U8" s="615" t="str">
        <f ca="1">IFERROR(IF(OR(AND($F$3=U$7,$H$2=1),AND(COUNTIFS(ConfigMatch,"Yes")=0,$H$2=1)),"Yes","No"),"No")</f>
        <v>Yes</v>
      </c>
      <c r="V8" s="615" t="str">
        <f t="shared" ref="V8:AD8" ca="1" si="0">IFERROR(IF(AND($F$3=V$7,$H$2=1),"Yes","No"),"No")</f>
        <v>No</v>
      </c>
      <c r="W8" s="615" t="str">
        <f t="shared" ca="1" si="0"/>
        <v>No</v>
      </c>
      <c r="X8" s="615" t="str">
        <f t="shared" ca="1" si="0"/>
        <v>No</v>
      </c>
      <c r="Y8" s="615" t="str">
        <f t="shared" ca="1" si="0"/>
        <v>No</v>
      </c>
      <c r="Z8" s="615" t="str">
        <f t="shared" ca="1" si="0"/>
        <v>No</v>
      </c>
      <c r="AA8" s="615" t="str">
        <f t="shared" ca="1" si="0"/>
        <v>No</v>
      </c>
      <c r="AB8" s="615" t="str">
        <f t="shared" ca="1" si="0"/>
        <v>No</v>
      </c>
      <c r="AC8" s="615" t="str">
        <f t="shared" ca="1" si="0"/>
        <v>No</v>
      </c>
      <c r="AD8" s="618" t="str">
        <f t="shared" ca="1" si="0"/>
        <v>No</v>
      </c>
    </row>
    <row r="9" spans="2:30" ht="26" customHeight="1" x14ac:dyDescent="0.2">
      <c r="B9" s="620" t="s">
        <v>616</v>
      </c>
      <c r="C9" s="621"/>
      <c r="D9" s="622"/>
      <c r="E9" s="623"/>
      <c r="F9" s="623" t="s">
        <v>625</v>
      </c>
      <c r="G9" s="623" t="s">
        <v>626</v>
      </c>
      <c r="H9" s="623" t="s">
        <v>627</v>
      </c>
      <c r="I9" s="623" t="s">
        <v>786</v>
      </c>
      <c r="J9" s="623" t="s">
        <v>795</v>
      </c>
      <c r="K9" s="623" t="s">
        <v>776</v>
      </c>
      <c r="L9" s="623" t="s">
        <v>351</v>
      </c>
      <c r="M9" s="623" t="s">
        <v>787</v>
      </c>
      <c r="N9" s="623"/>
      <c r="O9" s="623"/>
      <c r="P9" s="623"/>
      <c r="Q9" s="623"/>
      <c r="R9" s="623"/>
      <c r="S9" s="623"/>
      <c r="T9" s="624"/>
      <c r="U9" s="625" t="s">
        <v>673</v>
      </c>
      <c r="V9" s="625" t="s">
        <v>351</v>
      </c>
      <c r="W9" s="625"/>
      <c r="X9" s="625"/>
      <c r="Y9" s="625"/>
      <c r="Z9" s="625"/>
      <c r="AA9" s="625"/>
      <c r="AB9" s="625"/>
      <c r="AC9" s="625"/>
      <c r="AD9" s="626"/>
    </row>
    <row r="10" spans="2:30" ht="26" customHeight="1" thickBot="1" x14ac:dyDescent="0.25">
      <c r="B10" s="627" t="s">
        <v>617</v>
      </c>
      <c r="C10" s="628"/>
      <c r="D10" s="622"/>
      <c r="E10" s="629"/>
      <c r="F10" s="629" t="s">
        <v>816</v>
      </c>
      <c r="G10" s="629" t="s">
        <v>815</v>
      </c>
      <c r="H10" s="629" t="s">
        <v>817</v>
      </c>
      <c r="I10" s="629" t="s">
        <v>736</v>
      </c>
      <c r="J10" s="629" t="s">
        <v>796</v>
      </c>
      <c r="K10" s="629" t="s">
        <v>788</v>
      </c>
      <c r="L10" s="629" t="s">
        <v>622</v>
      </c>
      <c r="M10" s="629" t="s">
        <v>793</v>
      </c>
      <c r="N10" s="629"/>
      <c r="O10" s="629"/>
      <c r="P10" s="629"/>
      <c r="Q10" s="629"/>
      <c r="R10" s="629"/>
      <c r="S10" s="629"/>
      <c r="T10" s="624"/>
      <c r="U10" s="630" t="s">
        <v>674</v>
      </c>
      <c r="V10" s="630" t="s">
        <v>622</v>
      </c>
      <c r="W10" s="630"/>
      <c r="X10" s="630"/>
      <c r="Y10" s="630"/>
      <c r="Z10" s="630"/>
      <c r="AA10" s="630"/>
      <c r="AB10" s="630"/>
      <c r="AC10" s="630"/>
      <c r="AD10" s="631"/>
    </row>
    <row r="11" spans="2:30" ht="26" customHeight="1" thickTop="1" x14ac:dyDescent="0.2">
      <c r="B11" s="632">
        <v>1</v>
      </c>
      <c r="C11" s="633" t="s">
        <v>792</v>
      </c>
      <c r="D11" s="622"/>
      <c r="E11" s="634"/>
      <c r="F11" s="634" t="s">
        <v>68</v>
      </c>
      <c r="G11" s="634" t="s">
        <v>68</v>
      </c>
      <c r="H11" s="634" t="s">
        <v>68</v>
      </c>
      <c r="I11" s="634" t="s">
        <v>683</v>
      </c>
      <c r="J11" s="634" t="s">
        <v>68</v>
      </c>
      <c r="K11" s="634" t="s">
        <v>68</v>
      </c>
      <c r="L11" s="634" t="s">
        <v>68</v>
      </c>
      <c r="M11" s="634" t="s">
        <v>68</v>
      </c>
      <c r="N11" s="634"/>
      <c r="O11" s="634"/>
      <c r="P11" s="634"/>
      <c r="Q11" s="634"/>
      <c r="R11" s="634"/>
      <c r="S11" s="634"/>
      <c r="T11" s="624"/>
      <c r="U11" s="634" t="s">
        <v>432</v>
      </c>
      <c r="V11" s="634" t="s">
        <v>68</v>
      </c>
      <c r="W11" s="634"/>
      <c r="X11" s="634"/>
      <c r="Y11" s="634"/>
      <c r="Z11" s="634"/>
      <c r="AA11" s="634"/>
      <c r="AB11" s="634"/>
      <c r="AC11" s="634"/>
      <c r="AD11" s="635"/>
    </row>
    <row r="12" spans="2:30" ht="26" customHeight="1" x14ac:dyDescent="0.2">
      <c r="B12" s="636">
        <v>2</v>
      </c>
      <c r="C12" s="637" t="s">
        <v>623</v>
      </c>
      <c r="D12" s="622"/>
      <c r="E12" s="638"/>
      <c r="F12" s="638" t="s">
        <v>112</v>
      </c>
      <c r="G12" s="638" t="s">
        <v>112</v>
      </c>
      <c r="H12" s="638" t="s">
        <v>112</v>
      </c>
      <c r="I12" s="638" t="s">
        <v>24</v>
      </c>
      <c r="J12" s="638" t="s">
        <v>112</v>
      </c>
      <c r="K12" s="638" t="s">
        <v>112</v>
      </c>
      <c r="L12" s="638" t="s">
        <v>112</v>
      </c>
      <c r="M12" s="638" t="s">
        <v>112</v>
      </c>
      <c r="N12" s="638"/>
      <c r="O12" s="638"/>
      <c r="P12" s="638"/>
      <c r="Q12" s="638"/>
      <c r="R12" s="638"/>
      <c r="S12" s="638"/>
      <c r="T12" s="624"/>
      <c r="U12" s="638" t="s">
        <v>679</v>
      </c>
      <c r="V12" s="638" t="s">
        <v>112</v>
      </c>
      <c r="W12" s="638"/>
      <c r="X12" s="638"/>
      <c r="Y12" s="638"/>
      <c r="Z12" s="638"/>
      <c r="AA12" s="638"/>
      <c r="AB12" s="638"/>
      <c r="AC12" s="638"/>
      <c r="AD12" s="639"/>
    </row>
    <row r="13" spans="2:30" ht="26" customHeight="1" x14ac:dyDescent="0.2">
      <c r="B13" s="636">
        <v>3</v>
      </c>
      <c r="C13" s="637" t="s">
        <v>814</v>
      </c>
      <c r="D13" s="622"/>
      <c r="E13" s="638"/>
      <c r="F13" s="638" t="s">
        <v>750</v>
      </c>
      <c r="G13" s="638" t="s">
        <v>750</v>
      </c>
      <c r="H13" s="638" t="s">
        <v>750</v>
      </c>
      <c r="I13" s="638" t="s">
        <v>381</v>
      </c>
      <c r="J13" s="638" t="s">
        <v>750</v>
      </c>
      <c r="K13" s="638" t="s">
        <v>750</v>
      </c>
      <c r="L13" s="638" t="s">
        <v>750</v>
      </c>
      <c r="M13" s="638" t="s">
        <v>750</v>
      </c>
      <c r="N13" s="638"/>
      <c r="O13" s="638"/>
      <c r="P13" s="638"/>
      <c r="Q13" s="638"/>
      <c r="R13" s="638"/>
      <c r="S13" s="638"/>
      <c r="T13" s="624"/>
      <c r="U13" s="638" t="s">
        <v>680</v>
      </c>
      <c r="V13" s="638" t="s">
        <v>750</v>
      </c>
      <c r="W13" s="638"/>
      <c r="X13" s="638"/>
      <c r="Y13" s="638"/>
      <c r="Z13" s="638"/>
      <c r="AA13" s="638"/>
      <c r="AB13" s="638"/>
      <c r="AC13" s="638"/>
      <c r="AD13" s="639"/>
    </row>
    <row r="14" spans="2:30" ht="26" customHeight="1" x14ac:dyDescent="0.2">
      <c r="B14" s="636">
        <v>4</v>
      </c>
      <c r="C14" s="637" t="s">
        <v>624</v>
      </c>
      <c r="D14" s="622"/>
      <c r="E14" s="638"/>
      <c r="F14" s="638" t="s">
        <v>121</v>
      </c>
      <c r="G14" s="638" t="s">
        <v>121</v>
      </c>
      <c r="H14" s="638" t="s">
        <v>121</v>
      </c>
      <c r="I14" s="638" t="s">
        <v>572</v>
      </c>
      <c r="J14" s="638" t="s">
        <v>121</v>
      </c>
      <c r="K14" s="638" t="s">
        <v>121</v>
      </c>
      <c r="L14" s="638" t="s">
        <v>121</v>
      </c>
      <c r="M14" s="638" t="s">
        <v>121</v>
      </c>
      <c r="N14" s="638"/>
      <c r="O14" s="638"/>
      <c r="P14" s="638"/>
      <c r="Q14" s="638"/>
      <c r="R14" s="638"/>
      <c r="S14" s="638"/>
      <c r="T14" s="624"/>
      <c r="U14" s="638" t="s">
        <v>681</v>
      </c>
      <c r="V14" s="638" t="s">
        <v>121</v>
      </c>
      <c r="W14" s="638"/>
      <c r="X14" s="638"/>
      <c r="Y14" s="638"/>
      <c r="Z14" s="638"/>
      <c r="AA14" s="638"/>
      <c r="AB14" s="638"/>
      <c r="AC14" s="638"/>
      <c r="AD14" s="639"/>
    </row>
    <row r="15" spans="2:30" ht="26" customHeight="1" x14ac:dyDescent="0.2">
      <c r="B15" s="636">
        <v>5</v>
      </c>
      <c r="C15" s="637" t="s">
        <v>786</v>
      </c>
      <c r="D15" s="622"/>
      <c r="E15" s="638"/>
      <c r="F15" s="638" t="s">
        <v>391</v>
      </c>
      <c r="G15" s="638" t="s">
        <v>391</v>
      </c>
      <c r="H15" s="638" t="s">
        <v>391</v>
      </c>
      <c r="I15" s="638" t="s">
        <v>68</v>
      </c>
      <c r="J15" s="638" t="s">
        <v>391</v>
      </c>
      <c r="K15" s="638" t="s">
        <v>391</v>
      </c>
      <c r="L15" s="638" t="s">
        <v>391</v>
      </c>
      <c r="M15" s="638" t="s">
        <v>391</v>
      </c>
      <c r="N15" s="638"/>
      <c r="O15" s="638"/>
      <c r="P15" s="638"/>
      <c r="Q15" s="638"/>
      <c r="R15" s="638"/>
      <c r="S15" s="638"/>
      <c r="T15" s="624"/>
      <c r="U15" s="638"/>
      <c r="V15" s="638" t="s">
        <v>391</v>
      </c>
      <c r="W15" s="638"/>
      <c r="X15" s="638"/>
      <c r="Y15" s="638"/>
      <c r="Z15" s="638"/>
      <c r="AA15" s="638"/>
      <c r="AB15" s="638"/>
      <c r="AC15" s="638"/>
      <c r="AD15" s="639"/>
    </row>
    <row r="16" spans="2:30" ht="26" customHeight="1" x14ac:dyDescent="0.2">
      <c r="B16" s="636">
        <v>6</v>
      </c>
      <c r="C16" s="637" t="str">
        <f>"-----------"</f>
        <v>-----------</v>
      </c>
      <c r="D16" s="622"/>
      <c r="E16" s="638"/>
      <c r="F16" s="638" t="s">
        <v>31</v>
      </c>
      <c r="G16" s="638" t="s">
        <v>31</v>
      </c>
      <c r="H16" s="638" t="s">
        <v>31</v>
      </c>
      <c r="I16" s="638" t="s">
        <v>112</v>
      </c>
      <c r="J16" s="638" t="s">
        <v>31</v>
      </c>
      <c r="K16" s="638" t="s">
        <v>31</v>
      </c>
      <c r="L16" s="638" t="s">
        <v>31</v>
      </c>
      <c r="M16" s="638" t="s">
        <v>31</v>
      </c>
      <c r="N16" s="638"/>
      <c r="O16" s="638"/>
      <c r="P16" s="638"/>
      <c r="Q16" s="638"/>
      <c r="R16" s="638"/>
      <c r="S16" s="638"/>
      <c r="T16" s="624"/>
      <c r="U16" s="638" t="s">
        <v>68</v>
      </c>
      <c r="V16" s="638" t="s">
        <v>31</v>
      </c>
      <c r="W16" s="638"/>
      <c r="X16" s="638"/>
      <c r="Y16" s="638"/>
      <c r="Z16" s="638"/>
      <c r="AA16" s="638"/>
      <c r="AB16" s="638"/>
      <c r="AC16" s="638"/>
      <c r="AD16" s="639"/>
    </row>
    <row r="17" spans="2:30" ht="26" customHeight="1" x14ac:dyDescent="0.2">
      <c r="B17" s="636">
        <v>7</v>
      </c>
      <c r="C17" s="637" t="s">
        <v>777</v>
      </c>
      <c r="D17" s="622"/>
      <c r="E17" s="638"/>
      <c r="F17" s="638" t="s">
        <v>23</v>
      </c>
      <c r="G17" s="638" t="s">
        <v>23</v>
      </c>
      <c r="H17" s="638" t="s">
        <v>23</v>
      </c>
      <c r="I17" s="638" t="s">
        <v>750</v>
      </c>
      <c r="J17" s="638" t="s">
        <v>23</v>
      </c>
      <c r="K17" s="638" t="s">
        <v>23</v>
      </c>
      <c r="L17" s="638" t="s">
        <v>23</v>
      </c>
      <c r="M17" s="638" t="s">
        <v>23</v>
      </c>
      <c r="N17" s="638"/>
      <c r="O17" s="638"/>
      <c r="P17" s="638"/>
      <c r="Q17" s="638"/>
      <c r="R17" s="638"/>
      <c r="S17" s="638"/>
      <c r="T17" s="624"/>
      <c r="U17" s="638" t="s">
        <v>112</v>
      </c>
      <c r="V17" s="638" t="s">
        <v>23</v>
      </c>
      <c r="W17" s="638"/>
      <c r="X17" s="638"/>
      <c r="Y17" s="638"/>
      <c r="Z17" s="638"/>
      <c r="AA17" s="638"/>
      <c r="AB17" s="638"/>
      <c r="AC17" s="638"/>
      <c r="AD17" s="639"/>
    </row>
    <row r="18" spans="2:30" ht="26" customHeight="1" x14ac:dyDescent="0.2">
      <c r="B18" s="636">
        <v>8</v>
      </c>
      <c r="C18" s="637" t="s">
        <v>619</v>
      </c>
      <c r="D18" s="622"/>
      <c r="E18" s="638"/>
      <c r="F18" s="638" t="s">
        <v>22</v>
      </c>
      <c r="G18" s="638" t="s">
        <v>22</v>
      </c>
      <c r="H18" s="638" t="s">
        <v>22</v>
      </c>
      <c r="I18" s="638" t="s">
        <v>121</v>
      </c>
      <c r="J18" s="638" t="s">
        <v>22</v>
      </c>
      <c r="K18" s="638" t="s">
        <v>22</v>
      </c>
      <c r="L18" s="638" t="s">
        <v>22</v>
      </c>
      <c r="M18" s="638" t="s">
        <v>22</v>
      </c>
      <c r="N18" s="638"/>
      <c r="O18" s="638"/>
      <c r="P18" s="638"/>
      <c r="Q18" s="638"/>
      <c r="R18" s="638"/>
      <c r="S18" s="638"/>
      <c r="T18" s="624"/>
      <c r="U18" s="638" t="s">
        <v>750</v>
      </c>
      <c r="V18" s="638" t="s">
        <v>22</v>
      </c>
      <c r="W18" s="638"/>
      <c r="X18" s="638"/>
      <c r="Y18" s="638"/>
      <c r="Z18" s="638"/>
      <c r="AA18" s="638"/>
      <c r="AB18" s="638"/>
      <c r="AC18" s="638"/>
      <c r="AD18" s="639"/>
    </row>
    <row r="19" spans="2:30" ht="26" customHeight="1" x14ac:dyDescent="0.2">
      <c r="B19" s="636">
        <v>9</v>
      </c>
      <c r="C19" s="637" t="s">
        <v>787</v>
      </c>
      <c r="D19" s="622"/>
      <c r="E19" s="638"/>
      <c r="F19" s="638" t="s">
        <v>25</v>
      </c>
      <c r="G19" s="638" t="s">
        <v>25</v>
      </c>
      <c r="H19" s="638" t="s">
        <v>25</v>
      </c>
      <c r="I19" s="638" t="s">
        <v>391</v>
      </c>
      <c r="J19" s="638" t="s">
        <v>25</v>
      </c>
      <c r="K19" s="638" t="s">
        <v>436</v>
      </c>
      <c r="L19" s="638" t="s">
        <v>25</v>
      </c>
      <c r="M19" s="638" t="s">
        <v>25</v>
      </c>
      <c r="N19" s="638"/>
      <c r="O19" s="638"/>
      <c r="P19" s="638"/>
      <c r="Q19" s="638"/>
      <c r="R19" s="638"/>
      <c r="S19" s="638"/>
      <c r="T19" s="624"/>
      <c r="U19" s="638" t="s">
        <v>121</v>
      </c>
      <c r="V19" s="638" t="s">
        <v>25</v>
      </c>
      <c r="W19" s="638"/>
      <c r="X19" s="638"/>
      <c r="Y19" s="638"/>
      <c r="Z19" s="638"/>
      <c r="AA19" s="638"/>
      <c r="AB19" s="638"/>
      <c r="AC19" s="638"/>
      <c r="AD19" s="639"/>
    </row>
    <row r="20" spans="2:30" ht="26" customHeight="1" x14ac:dyDescent="0.2">
      <c r="B20" s="636">
        <v>10</v>
      </c>
      <c r="C20" s="637"/>
      <c r="D20" s="622"/>
      <c r="E20" s="638"/>
      <c r="F20" s="638" t="s">
        <v>24</v>
      </c>
      <c r="G20" s="638" t="s">
        <v>24</v>
      </c>
      <c r="H20" s="638" t="s">
        <v>24</v>
      </c>
      <c r="I20" s="638" t="s">
        <v>31</v>
      </c>
      <c r="J20" s="638" t="s">
        <v>24</v>
      </c>
      <c r="K20" s="638" t="s">
        <v>25</v>
      </c>
      <c r="L20" s="638" t="s">
        <v>24</v>
      </c>
      <c r="M20" s="638" t="s">
        <v>24</v>
      </c>
      <c r="N20" s="638"/>
      <c r="O20" s="638"/>
      <c r="P20" s="638"/>
      <c r="Q20" s="638"/>
      <c r="R20" s="638"/>
      <c r="S20" s="638"/>
      <c r="T20" s="624"/>
      <c r="U20" s="638" t="s">
        <v>391</v>
      </c>
      <c r="V20" s="638" t="s">
        <v>24</v>
      </c>
      <c r="W20" s="638"/>
      <c r="X20" s="638"/>
      <c r="Y20" s="638"/>
      <c r="Z20" s="638"/>
      <c r="AA20" s="638"/>
      <c r="AB20" s="638"/>
      <c r="AC20" s="638"/>
      <c r="AD20" s="639"/>
    </row>
    <row r="21" spans="2:30" ht="26" customHeight="1" x14ac:dyDescent="0.2">
      <c r="B21" s="636">
        <v>11</v>
      </c>
      <c r="C21" s="637"/>
      <c r="D21" s="622"/>
      <c r="E21" s="638"/>
      <c r="F21" s="638" t="s">
        <v>380</v>
      </c>
      <c r="G21" s="638" t="s">
        <v>381</v>
      </c>
      <c r="H21" s="638" t="s">
        <v>380</v>
      </c>
      <c r="I21" s="638" t="s">
        <v>23</v>
      </c>
      <c r="J21" s="638" t="s">
        <v>380</v>
      </c>
      <c r="K21" s="638" t="s">
        <v>24</v>
      </c>
      <c r="L21" s="638" t="s">
        <v>381</v>
      </c>
      <c r="M21" s="638" t="s">
        <v>380</v>
      </c>
      <c r="N21" s="638"/>
      <c r="O21" s="638"/>
      <c r="P21" s="638"/>
      <c r="Q21" s="638"/>
      <c r="R21" s="638"/>
      <c r="S21" s="638"/>
      <c r="T21" s="624"/>
      <c r="U21" s="638" t="s">
        <v>22</v>
      </c>
      <c r="V21" s="638" t="s">
        <v>380</v>
      </c>
      <c r="W21" s="638"/>
      <c r="X21" s="638"/>
      <c r="Y21" s="638"/>
      <c r="Z21" s="638"/>
      <c r="AA21" s="638"/>
      <c r="AB21" s="638"/>
      <c r="AC21" s="638"/>
      <c r="AD21" s="639"/>
    </row>
    <row r="22" spans="2:30" ht="26" customHeight="1" x14ac:dyDescent="0.2">
      <c r="B22" s="636">
        <v>12</v>
      </c>
      <c r="C22" s="637"/>
      <c r="D22" s="622"/>
      <c r="E22" s="638"/>
      <c r="F22" s="638" t="s">
        <v>578</v>
      </c>
      <c r="G22" s="638" t="s">
        <v>578</v>
      </c>
      <c r="H22" s="638" t="s">
        <v>578</v>
      </c>
      <c r="I22" s="638" t="s">
        <v>22</v>
      </c>
      <c r="J22" s="638" t="s">
        <v>578</v>
      </c>
      <c r="K22" s="638" t="s">
        <v>381</v>
      </c>
      <c r="L22" s="638" t="s">
        <v>572</v>
      </c>
      <c r="M22" s="638" t="s">
        <v>578</v>
      </c>
      <c r="N22" s="638"/>
      <c r="O22" s="638"/>
      <c r="P22" s="638"/>
      <c r="Q22" s="638"/>
      <c r="R22" s="638"/>
      <c r="S22" s="638"/>
      <c r="T22" s="624"/>
      <c r="U22" s="638" t="s">
        <v>436</v>
      </c>
      <c r="V22" s="638" t="s">
        <v>572</v>
      </c>
      <c r="W22" s="638"/>
      <c r="X22" s="638"/>
      <c r="Y22" s="638"/>
      <c r="Z22" s="638"/>
      <c r="AA22" s="638"/>
      <c r="AB22" s="638"/>
      <c r="AC22" s="638"/>
      <c r="AD22" s="639"/>
    </row>
    <row r="23" spans="2:30" ht="26" customHeight="1" x14ac:dyDescent="0.2">
      <c r="B23" s="636">
        <v>13</v>
      </c>
      <c r="C23" s="637"/>
      <c r="D23" s="622"/>
      <c r="E23" s="638"/>
      <c r="F23" s="638" t="s">
        <v>123</v>
      </c>
      <c r="G23" s="638" t="s">
        <v>123</v>
      </c>
      <c r="H23" s="638" t="s">
        <v>123</v>
      </c>
      <c r="I23" s="638" t="s">
        <v>682</v>
      </c>
      <c r="J23" s="638" t="s">
        <v>123</v>
      </c>
      <c r="K23" s="638" t="s">
        <v>123</v>
      </c>
      <c r="L23" s="638" t="s">
        <v>123</v>
      </c>
      <c r="M23" s="638" t="s">
        <v>123</v>
      </c>
      <c r="N23" s="638"/>
      <c r="O23" s="638"/>
      <c r="P23" s="638"/>
      <c r="Q23" s="638"/>
      <c r="R23" s="638"/>
      <c r="S23" s="638"/>
      <c r="T23" s="624"/>
      <c r="U23" s="638" t="s">
        <v>25</v>
      </c>
      <c r="V23" s="638" t="s">
        <v>123</v>
      </c>
      <c r="W23" s="638"/>
      <c r="X23" s="638"/>
      <c r="Y23" s="638"/>
      <c r="Z23" s="638"/>
      <c r="AA23" s="638"/>
      <c r="AB23" s="638"/>
      <c r="AC23" s="638"/>
      <c r="AD23" s="639"/>
    </row>
    <row r="24" spans="2:30" ht="26" customHeight="1" x14ac:dyDescent="0.2">
      <c r="B24" s="636">
        <v>14</v>
      </c>
      <c r="C24" s="637"/>
      <c r="D24" s="622"/>
      <c r="E24" s="638"/>
      <c r="F24" s="638" t="s">
        <v>4</v>
      </c>
      <c r="G24" s="638" t="s">
        <v>4</v>
      </c>
      <c r="H24" s="638" t="s">
        <v>4</v>
      </c>
      <c r="I24" s="638" t="s">
        <v>738</v>
      </c>
      <c r="J24" s="638" t="s">
        <v>4</v>
      </c>
      <c r="K24" s="638" t="s">
        <v>4</v>
      </c>
      <c r="L24" s="638" t="s">
        <v>4</v>
      </c>
      <c r="M24" s="638" t="s">
        <v>4</v>
      </c>
      <c r="N24" s="638"/>
      <c r="O24" s="638"/>
      <c r="P24" s="638"/>
      <c r="Q24" s="638"/>
      <c r="R24" s="638"/>
      <c r="S24" s="638"/>
      <c r="T24" s="624"/>
      <c r="U24" s="638" t="s">
        <v>24</v>
      </c>
      <c r="V24" s="638" t="s">
        <v>4</v>
      </c>
      <c r="W24" s="638"/>
      <c r="X24" s="638"/>
      <c r="Y24" s="638"/>
      <c r="Z24" s="638"/>
      <c r="AA24" s="638"/>
      <c r="AB24" s="638"/>
      <c r="AC24" s="638"/>
      <c r="AD24" s="639"/>
    </row>
    <row r="25" spans="2:30" ht="26" customHeight="1" x14ac:dyDescent="0.2">
      <c r="B25" s="636">
        <v>15</v>
      </c>
      <c r="C25" s="637"/>
      <c r="D25" s="622"/>
      <c r="E25" s="638"/>
      <c r="F25" s="638" t="s">
        <v>124</v>
      </c>
      <c r="G25" s="638" t="s">
        <v>124</v>
      </c>
      <c r="H25" s="638" t="s">
        <v>124</v>
      </c>
      <c r="I25" s="638" t="s">
        <v>742</v>
      </c>
      <c r="J25" s="638" t="s">
        <v>124</v>
      </c>
      <c r="K25" s="638" t="s">
        <v>124</v>
      </c>
      <c r="L25" s="638" t="s">
        <v>124</v>
      </c>
      <c r="M25" s="638" t="s">
        <v>124</v>
      </c>
      <c r="N25" s="638"/>
      <c r="O25" s="638"/>
      <c r="P25" s="638"/>
      <c r="Q25" s="638"/>
      <c r="R25" s="638"/>
      <c r="S25" s="638"/>
      <c r="T25" s="624"/>
      <c r="U25" s="638" t="s">
        <v>380</v>
      </c>
      <c r="V25" s="638" t="s">
        <v>124</v>
      </c>
      <c r="W25" s="638"/>
      <c r="X25" s="638"/>
      <c r="Y25" s="638"/>
      <c r="Z25" s="638"/>
      <c r="AA25" s="638"/>
      <c r="AB25" s="638"/>
      <c r="AC25" s="638"/>
      <c r="AD25" s="639"/>
    </row>
    <row r="26" spans="2:30" ht="26" customHeight="1" x14ac:dyDescent="0.2">
      <c r="B26" s="636">
        <v>16</v>
      </c>
      <c r="C26" s="637"/>
      <c r="D26" s="622"/>
      <c r="E26" s="638"/>
      <c r="F26" s="638" t="s">
        <v>125</v>
      </c>
      <c r="G26" s="638" t="s">
        <v>125</v>
      </c>
      <c r="H26" s="638" t="s">
        <v>125</v>
      </c>
      <c r="I26" s="638" t="s">
        <v>611</v>
      </c>
      <c r="J26" s="638" t="s">
        <v>771</v>
      </c>
      <c r="K26" s="638" t="s">
        <v>125</v>
      </c>
      <c r="L26" s="638" t="s">
        <v>125</v>
      </c>
      <c r="M26" s="638" t="s">
        <v>771</v>
      </c>
      <c r="N26" s="638"/>
      <c r="O26" s="638"/>
      <c r="P26" s="638"/>
      <c r="Q26" s="638"/>
      <c r="R26" s="638"/>
      <c r="S26" s="638"/>
      <c r="T26" s="624"/>
      <c r="U26" s="638" t="s">
        <v>578</v>
      </c>
      <c r="V26" s="638" t="s">
        <v>125</v>
      </c>
      <c r="W26" s="638"/>
      <c r="X26" s="638"/>
      <c r="Y26" s="638"/>
      <c r="Z26" s="638"/>
      <c r="AA26" s="638"/>
      <c r="AB26" s="638"/>
      <c r="AC26" s="638"/>
      <c r="AD26" s="639"/>
    </row>
    <row r="27" spans="2:30" ht="26" customHeight="1" x14ac:dyDescent="0.2">
      <c r="B27" s="636">
        <v>17</v>
      </c>
      <c r="C27" s="637"/>
      <c r="D27" s="622"/>
      <c r="E27" s="638"/>
      <c r="F27" s="638" t="s">
        <v>718</v>
      </c>
      <c r="G27" s="638" t="s">
        <v>718</v>
      </c>
      <c r="H27" s="638" t="s">
        <v>718</v>
      </c>
      <c r="I27" s="638" t="s">
        <v>751</v>
      </c>
      <c r="J27" s="638" t="s">
        <v>718</v>
      </c>
      <c r="K27" s="638" t="s">
        <v>718</v>
      </c>
      <c r="L27" s="638" t="s">
        <v>718</v>
      </c>
      <c r="M27" s="638" t="s">
        <v>718</v>
      </c>
      <c r="N27" s="638"/>
      <c r="O27" s="638"/>
      <c r="P27" s="638"/>
      <c r="Q27" s="638"/>
      <c r="R27" s="638"/>
      <c r="S27" s="638"/>
      <c r="T27" s="624"/>
      <c r="U27" s="638" t="s">
        <v>123</v>
      </c>
      <c r="V27" s="638" t="s">
        <v>718</v>
      </c>
      <c r="W27" s="638"/>
      <c r="X27" s="638"/>
      <c r="Y27" s="638"/>
      <c r="Z27" s="638"/>
      <c r="AA27" s="638"/>
      <c r="AB27" s="638"/>
      <c r="AC27" s="638"/>
      <c r="AD27" s="639"/>
    </row>
    <row r="28" spans="2:30" ht="26" customHeight="1" x14ac:dyDescent="0.2">
      <c r="B28" s="636">
        <v>18</v>
      </c>
      <c r="C28" s="637"/>
      <c r="D28" s="622"/>
      <c r="E28" s="638"/>
      <c r="F28" s="638" t="s">
        <v>53</v>
      </c>
      <c r="G28" s="638" t="s">
        <v>53</v>
      </c>
      <c r="H28" s="638" t="s">
        <v>53</v>
      </c>
      <c r="I28" s="638" t="s">
        <v>346</v>
      </c>
      <c r="J28" s="638" t="s">
        <v>53</v>
      </c>
      <c r="K28" s="638" t="s">
        <v>53</v>
      </c>
      <c r="L28" s="638" t="s">
        <v>53</v>
      </c>
      <c r="M28" s="638" t="s">
        <v>53</v>
      </c>
      <c r="N28" s="638"/>
      <c r="O28" s="638"/>
      <c r="P28" s="638"/>
      <c r="Q28" s="638"/>
      <c r="R28" s="638"/>
      <c r="S28" s="638"/>
      <c r="T28" s="624"/>
      <c r="U28" s="638" t="s">
        <v>4</v>
      </c>
      <c r="V28" s="638" t="s">
        <v>53</v>
      </c>
      <c r="W28" s="638"/>
      <c r="X28" s="638"/>
      <c r="Y28" s="638"/>
      <c r="Z28" s="638"/>
      <c r="AA28" s="638"/>
      <c r="AB28" s="638"/>
      <c r="AC28" s="638"/>
      <c r="AD28" s="639"/>
    </row>
    <row r="29" spans="2:30" ht="26" customHeight="1" x14ac:dyDescent="0.2">
      <c r="B29" s="636">
        <v>19</v>
      </c>
      <c r="C29" s="637"/>
      <c r="D29" s="622"/>
      <c r="E29" s="638"/>
      <c r="F29" s="638" t="s">
        <v>27</v>
      </c>
      <c r="G29" s="638" t="s">
        <v>772</v>
      </c>
      <c r="H29" s="638" t="s">
        <v>27</v>
      </c>
      <c r="I29" s="638" t="s">
        <v>289</v>
      </c>
      <c r="J29" s="638" t="s">
        <v>27</v>
      </c>
      <c r="K29" s="638" t="s">
        <v>772</v>
      </c>
      <c r="L29" s="638" t="s">
        <v>27</v>
      </c>
      <c r="M29" s="638" t="s">
        <v>27</v>
      </c>
      <c r="N29" s="638"/>
      <c r="O29" s="638"/>
      <c r="P29" s="638"/>
      <c r="Q29" s="638"/>
      <c r="R29" s="638"/>
      <c r="S29" s="638"/>
      <c r="T29" s="624"/>
      <c r="U29" s="638" t="s">
        <v>124</v>
      </c>
      <c r="V29" s="638" t="s">
        <v>27</v>
      </c>
      <c r="W29" s="638"/>
      <c r="X29" s="638"/>
      <c r="Y29" s="638"/>
      <c r="Z29" s="638"/>
      <c r="AA29" s="638"/>
      <c r="AB29" s="638"/>
      <c r="AC29" s="638"/>
      <c r="AD29" s="639"/>
    </row>
    <row r="30" spans="2:30" ht="26" customHeight="1" x14ac:dyDescent="0.2">
      <c r="B30" s="636">
        <v>20</v>
      </c>
      <c r="C30" s="637"/>
      <c r="D30" s="622"/>
      <c r="E30" s="638"/>
      <c r="F30" s="638" t="s">
        <v>751</v>
      </c>
      <c r="G30" s="638" t="s">
        <v>770</v>
      </c>
      <c r="H30" s="638" t="s">
        <v>751</v>
      </c>
      <c r="I30" s="638" t="s">
        <v>737</v>
      </c>
      <c r="J30" s="638" t="s">
        <v>751</v>
      </c>
      <c r="K30" s="638" t="s">
        <v>770</v>
      </c>
      <c r="L30" s="638" t="s">
        <v>751</v>
      </c>
      <c r="M30" s="638" t="s">
        <v>751</v>
      </c>
      <c r="N30" s="638"/>
      <c r="O30" s="638"/>
      <c r="P30" s="638"/>
      <c r="Q30" s="638"/>
      <c r="R30" s="638"/>
      <c r="S30" s="638"/>
      <c r="T30" s="624"/>
      <c r="U30" s="638" t="s">
        <v>125</v>
      </c>
      <c r="V30" s="638" t="s">
        <v>751</v>
      </c>
      <c r="W30" s="638"/>
      <c r="X30" s="638"/>
      <c r="Y30" s="638"/>
      <c r="Z30" s="638"/>
      <c r="AA30" s="638"/>
      <c r="AB30" s="638"/>
      <c r="AC30" s="638"/>
      <c r="AD30" s="639"/>
    </row>
    <row r="31" spans="2:30" ht="26" customHeight="1" x14ac:dyDescent="0.2">
      <c r="B31" s="636">
        <v>21</v>
      </c>
      <c r="C31" s="637"/>
      <c r="D31" s="622"/>
      <c r="E31" s="638"/>
      <c r="F31" s="638" t="s">
        <v>613</v>
      </c>
      <c r="G31" s="638" t="s">
        <v>613</v>
      </c>
      <c r="H31" s="638" t="s">
        <v>613</v>
      </c>
      <c r="I31" s="638" t="s">
        <v>124</v>
      </c>
      <c r="J31" s="638" t="s">
        <v>613</v>
      </c>
      <c r="K31" s="638" t="s">
        <v>613</v>
      </c>
      <c r="L31" s="638" t="s">
        <v>613</v>
      </c>
      <c r="M31" s="638" t="s">
        <v>613</v>
      </c>
      <c r="N31" s="638"/>
      <c r="O31" s="638"/>
      <c r="P31" s="638"/>
      <c r="Q31" s="638"/>
      <c r="R31" s="638"/>
      <c r="S31" s="638"/>
      <c r="T31" s="624"/>
      <c r="U31" s="638" t="s">
        <v>718</v>
      </c>
      <c r="V31" s="638" t="s">
        <v>613</v>
      </c>
      <c r="W31" s="638"/>
      <c r="X31" s="638"/>
      <c r="Y31" s="638"/>
      <c r="Z31" s="638"/>
      <c r="AA31" s="638"/>
      <c r="AB31" s="638"/>
      <c r="AC31" s="638"/>
      <c r="AD31" s="639"/>
    </row>
    <row r="32" spans="2:30" ht="26" customHeight="1" x14ac:dyDescent="0.2">
      <c r="B32" s="636">
        <v>22</v>
      </c>
      <c r="C32" s="637"/>
      <c r="D32" s="622"/>
      <c r="E32" s="638"/>
      <c r="F32" s="638" t="s">
        <v>71</v>
      </c>
      <c r="G32" s="638" t="s">
        <v>71</v>
      </c>
      <c r="H32" s="638" t="s">
        <v>71</v>
      </c>
      <c r="I32" s="638" t="s">
        <v>718</v>
      </c>
      <c r="J32" s="638" t="s">
        <v>71</v>
      </c>
      <c r="K32" s="638" t="s">
        <v>71</v>
      </c>
      <c r="L32" s="638" t="s">
        <v>71</v>
      </c>
      <c r="M32" s="638" t="s">
        <v>71</v>
      </c>
      <c r="N32" s="638"/>
      <c r="O32" s="638"/>
      <c r="P32" s="638"/>
      <c r="Q32" s="638"/>
      <c r="R32" s="638"/>
      <c r="S32" s="638"/>
      <c r="T32" s="624"/>
      <c r="U32" s="638" t="s">
        <v>71</v>
      </c>
      <c r="V32" s="638" t="s">
        <v>71</v>
      </c>
      <c r="W32" s="638"/>
      <c r="X32" s="638"/>
      <c r="Y32" s="638"/>
      <c r="Z32" s="638"/>
      <c r="AA32" s="638"/>
      <c r="AB32" s="638"/>
      <c r="AC32" s="638"/>
      <c r="AD32" s="639"/>
    </row>
    <row r="33" spans="2:30" ht="26" customHeight="1" thickBot="1" x14ac:dyDescent="0.25">
      <c r="B33" s="640">
        <v>23</v>
      </c>
      <c r="C33" s="641"/>
      <c r="D33" s="622"/>
      <c r="E33" s="642"/>
      <c r="F33" s="642" t="s">
        <v>72</v>
      </c>
      <c r="G33" s="642" t="s">
        <v>72</v>
      </c>
      <c r="H33" s="642" t="s">
        <v>72</v>
      </c>
      <c r="I33" s="642" t="s">
        <v>719</v>
      </c>
      <c r="J33" s="642" t="s">
        <v>72</v>
      </c>
      <c r="K33" s="642" t="s">
        <v>72</v>
      </c>
      <c r="L33" s="642" t="s">
        <v>72</v>
      </c>
      <c r="M33" s="642" t="s">
        <v>72</v>
      </c>
      <c r="N33" s="642"/>
      <c r="O33" s="642"/>
      <c r="P33" s="642"/>
      <c r="Q33" s="642"/>
      <c r="R33" s="642"/>
      <c r="S33" s="642"/>
      <c r="T33" s="624"/>
      <c r="U33" s="642" t="s">
        <v>72</v>
      </c>
      <c r="V33" s="642" t="s">
        <v>72</v>
      </c>
      <c r="W33" s="642"/>
      <c r="X33" s="642"/>
      <c r="Y33" s="642"/>
      <c r="Z33" s="642"/>
      <c r="AA33" s="642"/>
      <c r="AB33" s="642"/>
      <c r="AC33" s="642"/>
      <c r="AD33" s="643"/>
    </row>
    <row r="34" spans="2:30" ht="26" customHeight="1" thickTop="1" x14ac:dyDescent="0.2">
      <c r="B34" s="644">
        <v>24</v>
      </c>
      <c r="C34" s="645"/>
      <c r="D34" s="622"/>
      <c r="E34" s="634"/>
      <c r="F34" s="634" t="s">
        <v>333</v>
      </c>
      <c r="G34" s="634" t="s">
        <v>665</v>
      </c>
      <c r="H34" s="634" t="s">
        <v>333</v>
      </c>
      <c r="I34" s="634" t="s">
        <v>70</v>
      </c>
      <c r="J34" s="634" t="s">
        <v>333</v>
      </c>
      <c r="K34" s="634" t="s">
        <v>665</v>
      </c>
      <c r="L34" s="634" t="s">
        <v>285</v>
      </c>
      <c r="M34" s="634" t="s">
        <v>333</v>
      </c>
      <c r="N34" s="634"/>
      <c r="O34" s="634"/>
      <c r="P34" s="634"/>
      <c r="Q34" s="634"/>
      <c r="R34" s="634"/>
      <c r="S34" s="634"/>
      <c r="T34" s="624"/>
      <c r="U34" s="634" t="s">
        <v>675</v>
      </c>
      <c r="V34" s="634" t="s">
        <v>285</v>
      </c>
      <c r="W34" s="634"/>
      <c r="X34" s="634"/>
      <c r="Y34" s="634"/>
      <c r="Z34" s="634"/>
      <c r="AA34" s="634"/>
      <c r="AB34" s="634"/>
      <c r="AC34" s="634"/>
      <c r="AD34" s="635"/>
    </row>
    <row r="35" spans="2:30" ht="26" customHeight="1" x14ac:dyDescent="0.2">
      <c r="B35" s="646">
        <v>25</v>
      </c>
      <c r="C35" s="647"/>
      <c r="D35" s="622"/>
      <c r="E35" s="638"/>
      <c r="F35" s="638" t="s">
        <v>602</v>
      </c>
      <c r="G35" s="638" t="s">
        <v>754</v>
      </c>
      <c r="H35" s="638" t="s">
        <v>602</v>
      </c>
      <c r="I35" s="638" t="s">
        <v>75</v>
      </c>
      <c r="J35" s="638" t="s">
        <v>602</v>
      </c>
      <c r="K35" s="638" t="s">
        <v>754</v>
      </c>
      <c r="L35" s="638" t="s">
        <v>28</v>
      </c>
      <c r="M35" s="638" t="s">
        <v>602</v>
      </c>
      <c r="N35" s="638"/>
      <c r="O35" s="638"/>
      <c r="P35" s="638"/>
      <c r="Q35" s="638"/>
      <c r="R35" s="638"/>
      <c r="S35" s="638"/>
      <c r="T35" s="624"/>
      <c r="U35" s="638" t="s">
        <v>271</v>
      </c>
      <c r="V35" s="638" t="s">
        <v>28</v>
      </c>
      <c r="W35" s="638"/>
      <c r="X35" s="638"/>
      <c r="Y35" s="638"/>
      <c r="Z35" s="638"/>
      <c r="AA35" s="638"/>
      <c r="AB35" s="638"/>
      <c r="AC35" s="638"/>
      <c r="AD35" s="639"/>
    </row>
    <row r="36" spans="2:30" ht="26" customHeight="1" x14ac:dyDescent="0.2">
      <c r="B36" s="646">
        <v>26</v>
      </c>
      <c r="C36" s="647"/>
      <c r="D36" s="622"/>
      <c r="E36" s="638"/>
      <c r="F36" s="638" t="s">
        <v>256</v>
      </c>
      <c r="G36" s="638" t="s">
        <v>755</v>
      </c>
      <c r="H36" s="638" t="s">
        <v>256</v>
      </c>
      <c r="I36" s="638" t="s">
        <v>726</v>
      </c>
      <c r="J36" s="638" t="s">
        <v>256</v>
      </c>
      <c r="K36" s="638" t="s">
        <v>755</v>
      </c>
      <c r="L36" s="638" t="s">
        <v>333</v>
      </c>
      <c r="M36" s="638" t="s">
        <v>256</v>
      </c>
      <c r="N36" s="638"/>
      <c r="O36" s="638"/>
      <c r="P36" s="638"/>
      <c r="Q36" s="638"/>
      <c r="R36" s="638"/>
      <c r="S36" s="638"/>
      <c r="T36" s="624"/>
      <c r="U36" s="638" t="s">
        <v>442</v>
      </c>
      <c r="V36" s="638" t="s">
        <v>333</v>
      </c>
      <c r="W36" s="638"/>
      <c r="X36" s="638"/>
      <c r="Y36" s="638"/>
      <c r="Z36" s="638"/>
      <c r="AA36" s="638"/>
      <c r="AB36" s="638"/>
      <c r="AC36" s="638"/>
      <c r="AD36" s="639"/>
    </row>
    <row r="37" spans="2:30" ht="26" customHeight="1" x14ac:dyDescent="0.2">
      <c r="B37" s="646">
        <v>27</v>
      </c>
      <c r="C37" s="647"/>
      <c r="D37" s="622"/>
      <c r="E37" s="638"/>
      <c r="F37" s="638" t="s">
        <v>781</v>
      </c>
      <c r="G37" s="638" t="s">
        <v>561</v>
      </c>
      <c r="H37" s="638" t="s">
        <v>781</v>
      </c>
      <c r="I37" s="638" t="s">
        <v>343</v>
      </c>
      <c r="J37" s="638" t="s">
        <v>781</v>
      </c>
      <c r="K37" s="638" t="s">
        <v>561</v>
      </c>
      <c r="L37" s="638" t="s">
        <v>602</v>
      </c>
      <c r="M37" s="638" t="s">
        <v>781</v>
      </c>
      <c r="N37" s="638"/>
      <c r="O37" s="638"/>
      <c r="P37" s="638"/>
      <c r="Q37" s="638"/>
      <c r="R37" s="638"/>
      <c r="S37" s="638"/>
      <c r="T37" s="624"/>
      <c r="U37" s="638" t="s">
        <v>255</v>
      </c>
      <c r="V37" s="638" t="s">
        <v>602</v>
      </c>
      <c r="W37" s="638"/>
      <c r="X37" s="638"/>
      <c r="Y37" s="638"/>
      <c r="Z37" s="638"/>
      <c r="AA37" s="638"/>
      <c r="AB37" s="638"/>
      <c r="AC37" s="638"/>
      <c r="AD37" s="639"/>
    </row>
    <row r="38" spans="2:30" ht="26" customHeight="1" x14ac:dyDescent="0.2">
      <c r="B38" s="646">
        <v>28</v>
      </c>
      <c r="C38" s="647"/>
      <c r="D38" s="622"/>
      <c r="E38" s="638"/>
      <c r="F38" s="638" t="s">
        <v>780</v>
      </c>
      <c r="G38" s="638" t="s">
        <v>255</v>
      </c>
      <c r="H38" s="638" t="s">
        <v>780</v>
      </c>
      <c r="I38" s="638" t="s">
        <v>126</v>
      </c>
      <c r="J38" s="638" t="s">
        <v>780</v>
      </c>
      <c r="K38" s="638" t="s">
        <v>255</v>
      </c>
      <c r="L38" s="638" t="s">
        <v>256</v>
      </c>
      <c r="M38" s="638" t="s">
        <v>780</v>
      </c>
      <c r="N38" s="638"/>
      <c r="O38" s="638"/>
      <c r="P38" s="638"/>
      <c r="Q38" s="638"/>
      <c r="R38" s="638"/>
      <c r="S38" s="638"/>
      <c r="T38" s="624"/>
      <c r="U38" s="638" t="s">
        <v>254</v>
      </c>
      <c r="V38" s="638" t="s">
        <v>256</v>
      </c>
      <c r="W38" s="638"/>
      <c r="X38" s="638"/>
      <c r="Y38" s="638"/>
      <c r="Z38" s="638"/>
      <c r="AA38" s="638"/>
      <c r="AB38" s="638"/>
      <c r="AC38" s="638"/>
      <c r="AD38" s="639"/>
    </row>
    <row r="39" spans="2:30" ht="26" customHeight="1" x14ac:dyDescent="0.2">
      <c r="B39" s="646">
        <v>29</v>
      </c>
      <c r="C39" s="647"/>
      <c r="D39" s="622"/>
      <c r="E39" s="638"/>
      <c r="F39" s="638" t="s">
        <v>156</v>
      </c>
      <c r="G39" s="638" t="s">
        <v>254</v>
      </c>
      <c r="H39" s="638" t="s">
        <v>156</v>
      </c>
      <c r="I39" s="638" t="s">
        <v>71</v>
      </c>
      <c r="J39" s="638" t="s">
        <v>156</v>
      </c>
      <c r="K39" s="638" t="s">
        <v>254</v>
      </c>
      <c r="L39" s="638" t="s">
        <v>781</v>
      </c>
      <c r="M39" s="638" t="s">
        <v>156</v>
      </c>
      <c r="N39" s="638"/>
      <c r="O39" s="638"/>
      <c r="P39" s="638"/>
      <c r="Q39" s="638"/>
      <c r="R39" s="638"/>
      <c r="S39" s="638"/>
      <c r="T39" s="624"/>
      <c r="U39" s="638" t="s">
        <v>284</v>
      </c>
      <c r="V39" s="638" t="s">
        <v>775</v>
      </c>
      <c r="W39" s="638"/>
      <c r="X39" s="638"/>
      <c r="Y39" s="638"/>
      <c r="Z39" s="638"/>
      <c r="AA39" s="638"/>
      <c r="AB39" s="638"/>
      <c r="AC39" s="638"/>
      <c r="AD39" s="639"/>
    </row>
    <row r="40" spans="2:30" ht="26" customHeight="1" x14ac:dyDescent="0.2">
      <c r="B40" s="646">
        <v>30</v>
      </c>
      <c r="C40" s="647"/>
      <c r="D40" s="622"/>
      <c r="E40" s="638"/>
      <c r="F40" s="638" t="s">
        <v>346</v>
      </c>
      <c r="G40" s="638" t="s">
        <v>247</v>
      </c>
      <c r="H40" s="638" t="s">
        <v>346</v>
      </c>
      <c r="I40" s="638" t="s">
        <v>72</v>
      </c>
      <c r="J40" s="638" t="s">
        <v>346</v>
      </c>
      <c r="K40" s="638" t="s">
        <v>247</v>
      </c>
      <c r="L40" s="638" t="s">
        <v>804</v>
      </c>
      <c r="M40" s="638" t="s">
        <v>346</v>
      </c>
      <c r="N40" s="638"/>
      <c r="O40" s="638"/>
      <c r="P40" s="638"/>
      <c r="Q40" s="638"/>
      <c r="R40" s="638"/>
      <c r="S40" s="638"/>
      <c r="T40" s="624"/>
      <c r="U40" s="638" t="s">
        <v>53</v>
      </c>
      <c r="V40" s="638" t="s">
        <v>769</v>
      </c>
      <c r="W40" s="638"/>
      <c r="X40" s="638"/>
      <c r="Y40" s="638"/>
      <c r="Z40" s="638"/>
      <c r="AA40" s="638"/>
      <c r="AB40" s="638"/>
      <c r="AC40" s="638"/>
      <c r="AD40" s="639"/>
    </row>
    <row r="41" spans="2:30" ht="26" customHeight="1" x14ac:dyDescent="0.2">
      <c r="B41" s="646">
        <v>31</v>
      </c>
      <c r="C41" s="647"/>
      <c r="D41" s="622"/>
      <c r="E41" s="638"/>
      <c r="F41" s="638" t="s">
        <v>611</v>
      </c>
      <c r="G41" s="638" t="s">
        <v>246</v>
      </c>
      <c r="H41" s="638" t="s">
        <v>611</v>
      </c>
      <c r="I41" s="638" t="s">
        <v>720</v>
      </c>
      <c r="J41" s="638" t="s">
        <v>611</v>
      </c>
      <c r="K41" s="638" t="s">
        <v>246</v>
      </c>
      <c r="L41" s="638"/>
      <c r="M41" s="638" t="s">
        <v>611</v>
      </c>
      <c r="N41" s="638"/>
      <c r="O41" s="638"/>
      <c r="P41" s="638"/>
      <c r="Q41" s="638"/>
      <c r="R41" s="638"/>
      <c r="S41" s="638"/>
      <c r="T41" s="624"/>
      <c r="U41" s="638" t="s">
        <v>772</v>
      </c>
      <c r="V41" s="638"/>
      <c r="W41" s="638"/>
      <c r="X41" s="638"/>
      <c r="Y41" s="638"/>
      <c r="Z41" s="638"/>
      <c r="AA41" s="638"/>
      <c r="AB41" s="638"/>
      <c r="AC41" s="638"/>
      <c r="AD41" s="639"/>
    </row>
    <row r="42" spans="2:30" ht="26" customHeight="1" x14ac:dyDescent="0.2">
      <c r="B42" s="646">
        <v>32</v>
      </c>
      <c r="C42" s="647"/>
      <c r="D42" s="622"/>
      <c r="E42" s="638"/>
      <c r="F42" s="638" t="s">
        <v>612</v>
      </c>
      <c r="G42" s="638" t="s">
        <v>448</v>
      </c>
      <c r="H42" s="638" t="s">
        <v>612</v>
      </c>
      <c r="I42" s="638" t="s">
        <v>747</v>
      </c>
      <c r="J42" s="638" t="s">
        <v>612</v>
      </c>
      <c r="K42" s="638" t="s">
        <v>448</v>
      </c>
      <c r="L42" s="638" t="s">
        <v>802</v>
      </c>
      <c r="M42" s="638" t="s">
        <v>612</v>
      </c>
      <c r="N42" s="638"/>
      <c r="O42" s="638"/>
      <c r="P42" s="638"/>
      <c r="Q42" s="638"/>
      <c r="R42" s="638"/>
      <c r="S42" s="638"/>
      <c r="T42" s="624"/>
      <c r="U42" s="638" t="s">
        <v>751</v>
      </c>
      <c r="V42" s="638" t="s">
        <v>155</v>
      </c>
      <c r="W42" s="638"/>
      <c r="X42" s="638"/>
      <c r="Y42" s="638"/>
      <c r="Z42" s="638"/>
      <c r="AA42" s="638"/>
      <c r="AB42" s="638"/>
      <c r="AC42" s="638"/>
      <c r="AD42" s="639"/>
    </row>
    <row r="43" spans="2:30" ht="26" customHeight="1" x14ac:dyDescent="0.2">
      <c r="B43" s="646">
        <v>33</v>
      </c>
      <c r="C43" s="647"/>
      <c r="D43" s="622"/>
      <c r="E43" s="638"/>
      <c r="F43" s="638" t="s">
        <v>289</v>
      </c>
      <c r="G43" s="638" t="s">
        <v>441</v>
      </c>
      <c r="H43" s="638" t="s">
        <v>289</v>
      </c>
      <c r="I43" s="638" t="s">
        <v>53</v>
      </c>
      <c r="J43" s="638" t="s">
        <v>289</v>
      </c>
      <c r="K43" s="638" t="s">
        <v>441</v>
      </c>
      <c r="L43" s="638" t="s">
        <v>323</v>
      </c>
      <c r="M43" s="638" t="s">
        <v>289</v>
      </c>
      <c r="N43" s="638"/>
      <c r="O43" s="638"/>
      <c r="P43" s="638"/>
      <c r="Q43" s="638"/>
      <c r="R43" s="638"/>
      <c r="S43" s="638"/>
      <c r="T43" s="624"/>
      <c r="U43" s="638" t="s">
        <v>613</v>
      </c>
      <c r="V43" s="638" t="s">
        <v>323</v>
      </c>
      <c r="W43" s="638"/>
      <c r="X43" s="638"/>
      <c r="Y43" s="638"/>
      <c r="Z43" s="638"/>
      <c r="AA43" s="638"/>
      <c r="AB43" s="638"/>
      <c r="AC43" s="638"/>
      <c r="AD43" s="639"/>
    </row>
    <row r="44" spans="2:30" ht="26" customHeight="1" x14ac:dyDescent="0.2">
      <c r="B44" s="646">
        <v>34</v>
      </c>
      <c r="C44" s="647"/>
      <c r="D44" s="622"/>
      <c r="E44" s="638"/>
      <c r="F44" s="638" t="s">
        <v>154</v>
      </c>
      <c r="G44" s="638" t="s">
        <v>284</v>
      </c>
      <c r="H44" s="638" t="s">
        <v>802</v>
      </c>
      <c r="I44" s="638" t="s">
        <v>27</v>
      </c>
      <c r="J44" s="638" t="s">
        <v>794</v>
      </c>
      <c r="K44" s="638" t="s">
        <v>284</v>
      </c>
      <c r="L44" s="638" t="s">
        <v>165</v>
      </c>
      <c r="M44" s="638" t="s">
        <v>794</v>
      </c>
      <c r="N44" s="638"/>
      <c r="O44" s="638"/>
      <c r="P44" s="638"/>
      <c r="Q44" s="638"/>
      <c r="R44" s="638"/>
      <c r="S44" s="638"/>
      <c r="T44" s="624"/>
      <c r="U44" s="638" t="s">
        <v>155</v>
      </c>
      <c r="V44" s="638" t="s">
        <v>165</v>
      </c>
      <c r="W44" s="638"/>
      <c r="X44" s="638"/>
      <c r="Y44" s="638"/>
      <c r="Z44" s="638"/>
      <c r="AA44" s="638"/>
      <c r="AB44" s="638"/>
      <c r="AC44" s="638"/>
      <c r="AD44" s="639"/>
    </row>
    <row r="45" spans="2:30" ht="26" customHeight="1" x14ac:dyDescent="0.2">
      <c r="B45" s="646">
        <v>35</v>
      </c>
      <c r="C45" s="647"/>
      <c r="D45" s="622"/>
      <c r="E45" s="638"/>
      <c r="F45" s="638" t="s">
        <v>436</v>
      </c>
      <c r="G45" s="638" t="s">
        <v>666</v>
      </c>
      <c r="H45" s="638" t="s">
        <v>324</v>
      </c>
      <c r="I45" s="638" t="s">
        <v>751</v>
      </c>
      <c r="J45" s="638" t="s">
        <v>343</v>
      </c>
      <c r="K45" s="638" t="s">
        <v>666</v>
      </c>
      <c r="L45" s="638" t="s">
        <v>166</v>
      </c>
      <c r="M45" s="638" t="s">
        <v>343</v>
      </c>
      <c r="N45" s="638"/>
      <c r="O45" s="638"/>
      <c r="P45" s="638"/>
      <c r="Q45" s="638"/>
      <c r="R45" s="638"/>
      <c r="S45" s="638"/>
      <c r="T45" s="624"/>
      <c r="U45" s="638" t="s">
        <v>324</v>
      </c>
      <c r="V45" s="638" t="s">
        <v>166</v>
      </c>
      <c r="W45" s="638"/>
      <c r="X45" s="638"/>
      <c r="Y45" s="638"/>
      <c r="Z45" s="638"/>
      <c r="AA45" s="638"/>
      <c r="AB45" s="638"/>
      <c r="AC45" s="638"/>
      <c r="AD45" s="639"/>
    </row>
    <row r="46" spans="2:30" ht="26" customHeight="1" x14ac:dyDescent="0.2">
      <c r="B46" s="646">
        <v>36</v>
      </c>
      <c r="C46" s="647"/>
      <c r="D46" s="622"/>
      <c r="E46" s="638"/>
      <c r="F46" s="638" t="s">
        <v>151</v>
      </c>
      <c r="G46" s="638" t="s">
        <v>242</v>
      </c>
      <c r="H46" s="638" t="s">
        <v>165</v>
      </c>
      <c r="I46" s="638" t="s">
        <v>613</v>
      </c>
      <c r="J46" s="638" t="s">
        <v>28</v>
      </c>
      <c r="K46" s="638" t="s">
        <v>242</v>
      </c>
      <c r="L46" s="638" t="s">
        <v>250</v>
      </c>
      <c r="M46" s="638" t="s">
        <v>28</v>
      </c>
      <c r="N46" s="638"/>
      <c r="O46" s="638"/>
      <c r="P46" s="638"/>
      <c r="Q46" s="638"/>
      <c r="R46" s="638"/>
      <c r="S46" s="638"/>
      <c r="T46" s="624"/>
      <c r="U46" s="638" t="s">
        <v>165</v>
      </c>
      <c r="V46" s="638" t="s">
        <v>250</v>
      </c>
      <c r="W46" s="638"/>
      <c r="X46" s="638"/>
      <c r="Y46" s="638"/>
      <c r="Z46" s="638"/>
      <c r="AA46" s="638"/>
      <c r="AB46" s="638"/>
      <c r="AC46" s="638"/>
      <c r="AD46" s="639"/>
    </row>
    <row r="47" spans="2:30" ht="26" customHeight="1" x14ac:dyDescent="0.2">
      <c r="B47" s="646">
        <v>37</v>
      </c>
      <c r="C47" s="647"/>
      <c r="D47" s="622"/>
      <c r="E47" s="638"/>
      <c r="F47" s="638" t="s">
        <v>136</v>
      </c>
      <c r="G47" s="638" t="s">
        <v>243</v>
      </c>
      <c r="H47" s="638" t="s">
        <v>166</v>
      </c>
      <c r="I47" s="638" t="s">
        <v>757</v>
      </c>
      <c r="J47" s="638" t="s">
        <v>436</v>
      </c>
      <c r="K47" s="638" t="s">
        <v>243</v>
      </c>
      <c r="L47" s="638" t="s">
        <v>335</v>
      </c>
      <c r="M47" s="638" t="s">
        <v>436</v>
      </c>
      <c r="N47" s="638"/>
      <c r="O47" s="638"/>
      <c r="P47" s="638"/>
      <c r="Q47" s="638"/>
      <c r="R47" s="638"/>
      <c r="S47" s="638"/>
      <c r="T47" s="624"/>
      <c r="U47" s="638" t="s">
        <v>166</v>
      </c>
      <c r="V47" s="638" t="s">
        <v>335</v>
      </c>
      <c r="W47" s="638"/>
      <c r="X47" s="638"/>
      <c r="Y47" s="638"/>
      <c r="Z47" s="638"/>
      <c r="AA47" s="638"/>
      <c r="AB47" s="638"/>
      <c r="AC47" s="638"/>
      <c r="AD47" s="639"/>
    </row>
    <row r="48" spans="2:30" ht="26" customHeight="1" x14ac:dyDescent="0.2">
      <c r="B48" s="646">
        <v>38</v>
      </c>
      <c r="C48" s="647"/>
      <c r="D48" s="622"/>
      <c r="E48" s="638"/>
      <c r="F48" s="638" t="s">
        <v>162</v>
      </c>
      <c r="G48" s="638" t="s">
        <v>244</v>
      </c>
      <c r="H48" s="638" t="s">
        <v>734</v>
      </c>
      <c r="I48" s="638" t="s">
        <v>720</v>
      </c>
      <c r="J48" s="638" t="s">
        <v>126</v>
      </c>
      <c r="K48" s="638" t="s">
        <v>244</v>
      </c>
      <c r="L48" s="638" t="s">
        <v>734</v>
      </c>
      <c r="M48" s="638" t="s">
        <v>126</v>
      </c>
      <c r="N48" s="638"/>
      <c r="O48" s="638"/>
      <c r="P48" s="638"/>
      <c r="Q48" s="638"/>
      <c r="R48" s="638"/>
      <c r="S48" s="638"/>
      <c r="T48" s="624"/>
      <c r="U48" s="638" t="s">
        <v>152</v>
      </c>
      <c r="V48" s="638" t="s">
        <v>734</v>
      </c>
      <c r="W48" s="638"/>
      <c r="X48" s="638"/>
      <c r="Y48" s="638"/>
      <c r="Z48" s="638"/>
      <c r="AA48" s="638"/>
      <c r="AB48" s="638"/>
      <c r="AC48" s="638"/>
      <c r="AD48" s="639"/>
    </row>
    <row r="49" spans="2:30" ht="26" customHeight="1" x14ac:dyDescent="0.2">
      <c r="B49" s="646">
        <v>39</v>
      </c>
      <c r="C49" s="647"/>
      <c r="D49" s="622"/>
      <c r="E49" s="638"/>
      <c r="F49" s="638" t="s">
        <v>28</v>
      </c>
      <c r="G49" s="638" t="s">
        <v>249</v>
      </c>
      <c r="H49" s="638" t="s">
        <v>152</v>
      </c>
      <c r="I49" s="638" t="s">
        <v>734</v>
      </c>
      <c r="J49" s="638" t="s">
        <v>162</v>
      </c>
      <c r="K49" s="638" t="s">
        <v>249</v>
      </c>
      <c r="L49" s="638" t="s">
        <v>152</v>
      </c>
      <c r="M49" s="638" t="s">
        <v>162</v>
      </c>
      <c r="N49" s="638"/>
      <c r="O49" s="638"/>
      <c r="P49" s="638"/>
      <c r="Q49" s="638"/>
      <c r="R49" s="638"/>
      <c r="S49" s="638"/>
      <c r="T49" s="624"/>
      <c r="U49" s="638" t="s">
        <v>159</v>
      </c>
      <c r="V49" s="638" t="s">
        <v>152</v>
      </c>
      <c r="W49" s="638"/>
      <c r="X49" s="638"/>
      <c r="Y49" s="638"/>
      <c r="Z49" s="638"/>
      <c r="AA49" s="638"/>
      <c r="AB49" s="638"/>
      <c r="AC49" s="638"/>
      <c r="AD49" s="639"/>
    </row>
    <row r="50" spans="2:30" ht="26" customHeight="1" x14ac:dyDescent="0.2">
      <c r="B50" s="646">
        <v>40</v>
      </c>
      <c r="C50" s="647"/>
      <c r="D50" s="622"/>
      <c r="E50" s="638"/>
      <c r="F50" s="638" t="s">
        <v>224</v>
      </c>
      <c r="G50" s="638" t="s">
        <v>248</v>
      </c>
      <c r="H50" s="638" t="s">
        <v>159</v>
      </c>
      <c r="I50" s="638" t="s">
        <v>149</v>
      </c>
      <c r="J50" s="638" t="s">
        <v>224</v>
      </c>
      <c r="K50" s="638" t="s">
        <v>248</v>
      </c>
      <c r="L50" s="638" t="s">
        <v>159</v>
      </c>
      <c r="M50" s="638" t="s">
        <v>224</v>
      </c>
      <c r="N50" s="638"/>
      <c r="O50" s="638"/>
      <c r="P50" s="638"/>
      <c r="Q50" s="638"/>
      <c r="R50" s="638"/>
      <c r="S50" s="638"/>
      <c r="T50" s="624"/>
      <c r="U50" s="638" t="s">
        <v>157</v>
      </c>
      <c r="V50" s="638" t="s">
        <v>159</v>
      </c>
      <c r="W50" s="638"/>
      <c r="X50" s="638"/>
      <c r="Y50" s="638"/>
      <c r="Z50" s="638"/>
      <c r="AA50" s="638"/>
      <c r="AB50" s="638"/>
      <c r="AC50" s="638"/>
      <c r="AD50" s="639"/>
    </row>
    <row r="51" spans="2:30" ht="26" customHeight="1" x14ac:dyDescent="0.2">
      <c r="B51" s="646">
        <v>41</v>
      </c>
      <c r="C51" s="647"/>
      <c r="D51" s="622"/>
      <c r="E51" s="638"/>
      <c r="F51" s="638" t="s">
        <v>246</v>
      </c>
      <c r="G51" s="638" t="s">
        <v>245</v>
      </c>
      <c r="H51" s="638" t="s">
        <v>157</v>
      </c>
      <c r="I51" s="638" t="s">
        <v>162</v>
      </c>
      <c r="J51" s="638" t="s">
        <v>246</v>
      </c>
      <c r="K51" s="638" t="s">
        <v>245</v>
      </c>
      <c r="L51" s="638" t="s">
        <v>157</v>
      </c>
      <c r="M51" s="638" t="s">
        <v>246</v>
      </c>
      <c r="N51" s="638"/>
      <c r="O51" s="638"/>
      <c r="P51" s="638"/>
      <c r="Q51" s="638"/>
      <c r="R51" s="638"/>
      <c r="S51" s="638"/>
      <c r="T51" s="624"/>
      <c r="U51" s="638" t="s">
        <v>469</v>
      </c>
      <c r="V51" s="638" t="s">
        <v>157</v>
      </c>
      <c r="W51" s="638"/>
      <c r="X51" s="638"/>
      <c r="Y51" s="638"/>
      <c r="Z51" s="638"/>
      <c r="AA51" s="638"/>
      <c r="AB51" s="638"/>
      <c r="AC51" s="638"/>
      <c r="AD51" s="639"/>
    </row>
    <row r="52" spans="2:30" ht="26" customHeight="1" x14ac:dyDescent="0.2">
      <c r="B52" s="646">
        <v>42</v>
      </c>
      <c r="C52" s="647"/>
      <c r="D52" s="622"/>
      <c r="E52" s="638"/>
      <c r="F52" s="638" t="s">
        <v>754</v>
      </c>
      <c r="G52" s="638" t="s">
        <v>789</v>
      </c>
      <c r="H52" s="638" t="s">
        <v>469</v>
      </c>
      <c r="I52" s="638" t="s">
        <v>136</v>
      </c>
      <c r="J52" s="638" t="s">
        <v>754</v>
      </c>
      <c r="K52" s="638" t="s">
        <v>789</v>
      </c>
      <c r="L52" s="638" t="s">
        <v>469</v>
      </c>
      <c r="M52" s="638" t="s">
        <v>754</v>
      </c>
      <c r="N52" s="638"/>
      <c r="O52" s="638"/>
      <c r="P52" s="638"/>
      <c r="Q52" s="638"/>
      <c r="R52" s="638"/>
      <c r="S52" s="638"/>
      <c r="T52" s="624"/>
      <c r="U52" s="638" t="s">
        <v>158</v>
      </c>
      <c r="V52" s="638" t="s">
        <v>469</v>
      </c>
      <c r="W52" s="638"/>
      <c r="X52" s="638"/>
      <c r="Y52" s="638"/>
      <c r="Z52" s="638"/>
      <c r="AA52" s="638"/>
      <c r="AB52" s="638"/>
      <c r="AC52" s="638"/>
      <c r="AD52" s="639"/>
    </row>
    <row r="53" spans="2:30" ht="26" customHeight="1" x14ac:dyDescent="0.2">
      <c r="B53" s="646">
        <v>43</v>
      </c>
      <c r="C53" s="647"/>
      <c r="D53" s="622"/>
      <c r="E53" s="638"/>
      <c r="F53" s="638" t="s">
        <v>242</v>
      </c>
      <c r="G53" s="638" t="s">
        <v>265</v>
      </c>
      <c r="H53" s="638" t="s">
        <v>158</v>
      </c>
      <c r="I53" s="638" t="s">
        <v>224</v>
      </c>
      <c r="J53" s="638" t="s">
        <v>248</v>
      </c>
      <c r="K53" s="638" t="s">
        <v>265</v>
      </c>
      <c r="L53" s="638" t="s">
        <v>158</v>
      </c>
      <c r="M53" s="638" t="s">
        <v>248</v>
      </c>
      <c r="N53" s="638"/>
      <c r="O53" s="638"/>
      <c r="P53" s="638"/>
      <c r="Q53" s="638"/>
      <c r="R53" s="638"/>
      <c r="S53" s="638"/>
      <c r="T53" s="624"/>
      <c r="U53" s="638" t="s">
        <v>160</v>
      </c>
      <c r="V53" s="638" t="s">
        <v>158</v>
      </c>
      <c r="W53" s="638"/>
      <c r="X53" s="638"/>
      <c r="Y53" s="638"/>
      <c r="Z53" s="638"/>
      <c r="AA53" s="638"/>
      <c r="AB53" s="638"/>
      <c r="AC53" s="638"/>
      <c r="AD53" s="639"/>
    </row>
    <row r="54" spans="2:30" ht="26" customHeight="1" x14ac:dyDescent="0.2">
      <c r="B54" s="646">
        <v>44</v>
      </c>
      <c r="C54" s="647"/>
      <c r="D54" s="622"/>
      <c r="E54" s="638"/>
      <c r="F54" s="638" t="s">
        <v>243</v>
      </c>
      <c r="G54" s="638" t="s">
        <v>266</v>
      </c>
      <c r="H54" s="638" t="s">
        <v>414</v>
      </c>
      <c r="I54" s="638" t="s">
        <v>754</v>
      </c>
      <c r="J54" s="638" t="s">
        <v>242</v>
      </c>
      <c r="K54" s="638" t="s">
        <v>266</v>
      </c>
      <c r="L54" s="638" t="s">
        <v>414</v>
      </c>
      <c r="M54" s="638" t="s">
        <v>242</v>
      </c>
      <c r="N54" s="638"/>
      <c r="O54" s="638"/>
      <c r="P54" s="638"/>
      <c r="Q54" s="638"/>
      <c r="R54" s="638"/>
      <c r="S54" s="638"/>
      <c r="T54" s="624"/>
      <c r="U54" s="638" t="s">
        <v>414</v>
      </c>
      <c r="V54" s="638" t="s">
        <v>414</v>
      </c>
      <c r="W54" s="638"/>
      <c r="X54" s="638"/>
      <c r="Y54" s="638"/>
      <c r="Z54" s="638"/>
      <c r="AA54" s="638"/>
      <c r="AB54" s="638"/>
      <c r="AC54" s="638"/>
      <c r="AD54" s="639"/>
    </row>
    <row r="55" spans="2:30" ht="26" customHeight="1" x14ac:dyDescent="0.2">
      <c r="B55" s="646">
        <v>45</v>
      </c>
      <c r="C55" s="647"/>
      <c r="D55" s="622"/>
      <c r="E55" s="638"/>
      <c r="F55" s="638" t="s">
        <v>241</v>
      </c>
      <c r="G55" s="638" t="s">
        <v>241</v>
      </c>
      <c r="H55" s="638"/>
      <c r="I55" s="638" t="s">
        <v>246</v>
      </c>
      <c r="J55" s="638" t="s">
        <v>243</v>
      </c>
      <c r="K55" s="638" t="s">
        <v>241</v>
      </c>
      <c r="L55" s="638"/>
      <c r="M55" s="638" t="s">
        <v>243</v>
      </c>
      <c r="N55" s="638"/>
      <c r="O55" s="638"/>
      <c r="P55" s="638"/>
      <c r="Q55" s="638"/>
      <c r="R55" s="638"/>
      <c r="S55" s="638"/>
      <c r="T55" s="624"/>
      <c r="U55" s="638"/>
      <c r="V55" s="638"/>
      <c r="W55" s="638"/>
      <c r="X55" s="638"/>
      <c r="Y55" s="638"/>
      <c r="Z55" s="638"/>
      <c r="AA55" s="638"/>
      <c r="AB55" s="638"/>
      <c r="AC55" s="638"/>
      <c r="AD55" s="639"/>
    </row>
    <row r="56" spans="2:30" ht="26" customHeight="1" thickBot="1" x14ac:dyDescent="0.25">
      <c r="B56" s="648">
        <v>46</v>
      </c>
      <c r="C56" s="649"/>
      <c r="D56" s="622"/>
      <c r="E56" s="642"/>
      <c r="F56" s="642" t="s">
        <v>240</v>
      </c>
      <c r="G56" s="642" t="s">
        <v>240</v>
      </c>
      <c r="H56" s="642" t="s">
        <v>328</v>
      </c>
      <c r="I56" s="642" t="s">
        <v>241</v>
      </c>
      <c r="J56" s="642" t="s">
        <v>241</v>
      </c>
      <c r="K56" s="642" t="s">
        <v>240</v>
      </c>
      <c r="L56" s="642" t="s">
        <v>328</v>
      </c>
      <c r="M56" s="642" t="s">
        <v>241</v>
      </c>
      <c r="N56" s="642"/>
      <c r="O56" s="642"/>
      <c r="P56" s="642"/>
      <c r="Q56" s="642"/>
      <c r="R56" s="642"/>
      <c r="S56" s="642"/>
      <c r="T56" s="624"/>
      <c r="U56" s="642" t="s">
        <v>328</v>
      </c>
      <c r="V56" s="642" t="s">
        <v>328</v>
      </c>
      <c r="W56" s="642"/>
      <c r="X56" s="642"/>
      <c r="Y56" s="642"/>
      <c r="Z56" s="642"/>
      <c r="AA56" s="642"/>
      <c r="AB56" s="642"/>
      <c r="AC56" s="642"/>
      <c r="AD56" s="643"/>
    </row>
    <row r="57" spans="2:30" ht="26" customHeight="1" thickTop="1" x14ac:dyDescent="0.2">
      <c r="B57" s="650" t="s">
        <v>664</v>
      </c>
      <c r="C57" s="651"/>
      <c r="D57" s="624"/>
      <c r="E57" s="651" t="s">
        <v>606</v>
      </c>
      <c r="F57" s="651" t="s">
        <v>606</v>
      </c>
      <c r="G57" s="651" t="s">
        <v>665</v>
      </c>
      <c r="H57" s="651" t="s">
        <v>606</v>
      </c>
      <c r="I57" s="651" t="s">
        <v>606</v>
      </c>
      <c r="J57" s="651" t="s">
        <v>606</v>
      </c>
      <c r="K57" s="651" t="s">
        <v>68</v>
      </c>
      <c r="L57" s="651" t="s">
        <v>606</v>
      </c>
      <c r="M57" s="651" t="s">
        <v>606</v>
      </c>
      <c r="N57" s="651" t="s">
        <v>606</v>
      </c>
      <c r="O57" s="651" t="s">
        <v>606</v>
      </c>
      <c r="P57" s="651" t="s">
        <v>606</v>
      </c>
      <c r="Q57" s="651" t="s">
        <v>606</v>
      </c>
      <c r="R57" s="651" t="s">
        <v>606</v>
      </c>
      <c r="S57" s="651" t="s">
        <v>606</v>
      </c>
      <c r="T57" s="624"/>
      <c r="U57" s="651" t="s">
        <v>675</v>
      </c>
      <c r="V57" s="651" t="s">
        <v>606</v>
      </c>
      <c r="W57" s="651" t="s">
        <v>606</v>
      </c>
      <c r="X57" s="651" t="s">
        <v>606</v>
      </c>
      <c r="Y57" s="651" t="s">
        <v>606</v>
      </c>
      <c r="Z57" s="651" t="s">
        <v>606</v>
      </c>
      <c r="AA57" s="651" t="s">
        <v>606</v>
      </c>
      <c r="AB57" s="651" t="s">
        <v>606</v>
      </c>
      <c r="AC57" s="651" t="s">
        <v>606</v>
      </c>
      <c r="AD57" s="652" t="s">
        <v>606</v>
      </c>
    </row>
    <row r="58" spans="2:30" ht="26" customHeight="1" x14ac:dyDescent="0.2">
      <c r="B58" s="653" t="s">
        <v>628</v>
      </c>
      <c r="C58" s="654"/>
      <c r="D58" s="624"/>
      <c r="E58" s="654" t="s">
        <v>607</v>
      </c>
      <c r="F58" s="654" t="s">
        <v>607</v>
      </c>
      <c r="G58" s="654" t="s">
        <v>666</v>
      </c>
      <c r="H58" s="654" t="s">
        <v>607</v>
      </c>
      <c r="I58" s="654" t="s">
        <v>607</v>
      </c>
      <c r="J58" s="654" t="s">
        <v>607</v>
      </c>
      <c r="K58" s="654" t="s">
        <v>25</v>
      </c>
      <c r="L58" s="654" t="s">
        <v>607</v>
      </c>
      <c r="M58" s="654" t="s">
        <v>607</v>
      </c>
      <c r="N58" s="654" t="s">
        <v>607</v>
      </c>
      <c r="O58" s="654" t="s">
        <v>607</v>
      </c>
      <c r="P58" s="654" t="s">
        <v>607</v>
      </c>
      <c r="Q58" s="654" t="s">
        <v>607</v>
      </c>
      <c r="R58" s="654" t="s">
        <v>607</v>
      </c>
      <c r="S58" s="654" t="s">
        <v>607</v>
      </c>
      <c r="T58" s="624"/>
      <c r="U58" s="654" t="s">
        <v>607</v>
      </c>
      <c r="V58" s="654" t="s">
        <v>607</v>
      </c>
      <c r="W58" s="654" t="s">
        <v>607</v>
      </c>
      <c r="X58" s="654" t="s">
        <v>607</v>
      </c>
      <c r="Y58" s="654" t="s">
        <v>607</v>
      </c>
      <c r="Z58" s="654" t="s">
        <v>607</v>
      </c>
      <c r="AA58" s="654" t="s">
        <v>607</v>
      </c>
      <c r="AB58" s="654" t="s">
        <v>607</v>
      </c>
      <c r="AC58" s="654" t="s">
        <v>607</v>
      </c>
      <c r="AD58" s="655" t="s">
        <v>607</v>
      </c>
    </row>
    <row r="59" spans="2:30" ht="26" customHeight="1" x14ac:dyDescent="0.2">
      <c r="B59" s="653" t="s">
        <v>629</v>
      </c>
      <c r="C59" s="654"/>
      <c r="D59" s="624"/>
      <c r="E59" s="654" t="s">
        <v>608</v>
      </c>
      <c r="F59" s="654" t="s">
        <v>608</v>
      </c>
      <c r="G59" s="654" t="s">
        <v>667</v>
      </c>
      <c r="H59" s="654" t="s">
        <v>608</v>
      </c>
      <c r="I59" s="654" t="s">
        <v>682</v>
      </c>
      <c r="J59" s="654" t="s">
        <v>608</v>
      </c>
      <c r="K59" s="654" t="s">
        <v>665</v>
      </c>
      <c r="L59" s="654" t="s">
        <v>608</v>
      </c>
      <c r="M59" s="654" t="s">
        <v>608</v>
      </c>
      <c r="N59" s="654" t="s">
        <v>608</v>
      </c>
      <c r="O59" s="654" t="s">
        <v>608</v>
      </c>
      <c r="P59" s="654" t="s">
        <v>608</v>
      </c>
      <c r="Q59" s="654" t="s">
        <v>608</v>
      </c>
      <c r="R59" s="654" t="s">
        <v>608</v>
      </c>
      <c r="S59" s="654" t="s">
        <v>608</v>
      </c>
      <c r="T59" s="624"/>
      <c r="U59" s="654" t="s">
        <v>608</v>
      </c>
      <c r="V59" s="654" t="s">
        <v>608</v>
      </c>
      <c r="W59" s="654" t="s">
        <v>608</v>
      </c>
      <c r="X59" s="654" t="s">
        <v>608</v>
      </c>
      <c r="Y59" s="654" t="s">
        <v>608</v>
      </c>
      <c r="Z59" s="654" t="s">
        <v>608</v>
      </c>
      <c r="AA59" s="654" t="s">
        <v>608</v>
      </c>
      <c r="AB59" s="654" t="s">
        <v>608</v>
      </c>
      <c r="AC59" s="654" t="s">
        <v>608</v>
      </c>
      <c r="AD59" s="655" t="s">
        <v>608</v>
      </c>
    </row>
    <row r="60" spans="2:30" ht="26" customHeight="1" x14ac:dyDescent="0.2">
      <c r="B60" s="653" t="s">
        <v>630</v>
      </c>
      <c r="C60" s="654"/>
      <c r="D60" s="624"/>
      <c r="E60" s="654" t="s">
        <v>144</v>
      </c>
      <c r="F60" s="654" t="s">
        <v>144</v>
      </c>
      <c r="G60" s="654" t="s">
        <v>144</v>
      </c>
      <c r="H60" s="654" t="s">
        <v>144</v>
      </c>
      <c r="I60" s="654" t="s">
        <v>144</v>
      </c>
      <c r="J60" s="654" t="s">
        <v>144</v>
      </c>
      <c r="K60" s="654" t="s">
        <v>666</v>
      </c>
      <c r="L60" s="654" t="s">
        <v>144</v>
      </c>
      <c r="M60" s="654" t="s">
        <v>144</v>
      </c>
      <c r="N60" s="654" t="s">
        <v>144</v>
      </c>
      <c r="O60" s="654" t="s">
        <v>144</v>
      </c>
      <c r="P60" s="654" t="s">
        <v>144</v>
      </c>
      <c r="Q60" s="654" t="s">
        <v>144</v>
      </c>
      <c r="R60" s="654" t="s">
        <v>144</v>
      </c>
      <c r="S60" s="654" t="s">
        <v>144</v>
      </c>
      <c r="T60" s="624"/>
      <c r="U60" s="654" t="s">
        <v>144</v>
      </c>
      <c r="V60" s="654" t="s">
        <v>144</v>
      </c>
      <c r="W60" s="654" t="s">
        <v>144</v>
      </c>
      <c r="X60" s="654" t="s">
        <v>144</v>
      </c>
      <c r="Y60" s="654" t="s">
        <v>144</v>
      </c>
      <c r="Z60" s="654" t="s">
        <v>144</v>
      </c>
      <c r="AA60" s="654" t="s">
        <v>144</v>
      </c>
      <c r="AB60" s="654" t="s">
        <v>144</v>
      </c>
      <c r="AC60" s="654" t="s">
        <v>144</v>
      </c>
      <c r="AD60" s="655" t="s">
        <v>144</v>
      </c>
    </row>
    <row r="61" spans="2:30" ht="26" customHeight="1" x14ac:dyDescent="0.2">
      <c r="B61" s="653" t="s">
        <v>631</v>
      </c>
      <c r="C61" s="654"/>
      <c r="D61" s="624"/>
      <c r="E61" s="654" t="s">
        <v>148</v>
      </c>
      <c r="F61" s="654" t="s">
        <v>148</v>
      </c>
      <c r="G61" s="654" t="s">
        <v>148</v>
      </c>
      <c r="H61" s="654" t="s">
        <v>148</v>
      </c>
      <c r="I61" s="654" t="s">
        <v>737</v>
      </c>
      <c r="J61" s="654" t="s">
        <v>148</v>
      </c>
      <c r="K61" s="654" t="s">
        <v>789</v>
      </c>
      <c r="L61" s="654" t="s">
        <v>148</v>
      </c>
      <c r="M61" s="654" t="s">
        <v>148</v>
      </c>
      <c r="N61" s="654" t="s">
        <v>148</v>
      </c>
      <c r="O61" s="654" t="s">
        <v>148</v>
      </c>
      <c r="P61" s="654" t="s">
        <v>148</v>
      </c>
      <c r="Q61" s="654" t="s">
        <v>148</v>
      </c>
      <c r="R61" s="654" t="s">
        <v>148</v>
      </c>
      <c r="S61" s="654" t="s">
        <v>148</v>
      </c>
      <c r="T61" s="624"/>
      <c r="U61" s="654" t="s">
        <v>148</v>
      </c>
      <c r="V61" s="654" t="s">
        <v>148</v>
      </c>
      <c r="W61" s="654" t="s">
        <v>148</v>
      </c>
      <c r="X61" s="654" t="s">
        <v>148</v>
      </c>
      <c r="Y61" s="654" t="s">
        <v>148</v>
      </c>
      <c r="Z61" s="654" t="s">
        <v>148</v>
      </c>
      <c r="AA61" s="654" t="s">
        <v>148</v>
      </c>
      <c r="AB61" s="654" t="s">
        <v>148</v>
      </c>
      <c r="AC61" s="654" t="s">
        <v>148</v>
      </c>
      <c r="AD61" s="655" t="s">
        <v>148</v>
      </c>
    </row>
    <row r="62" spans="2:30" ht="26" customHeight="1" x14ac:dyDescent="0.2">
      <c r="B62" s="653" t="s">
        <v>632</v>
      </c>
      <c r="C62" s="654"/>
      <c r="D62" s="624"/>
      <c r="E62" s="654" t="s">
        <v>147</v>
      </c>
      <c r="F62" s="654" t="s">
        <v>147</v>
      </c>
      <c r="G62" s="654" t="s">
        <v>147</v>
      </c>
      <c r="H62" s="654" t="s">
        <v>147</v>
      </c>
      <c r="I62" s="654" t="s">
        <v>147</v>
      </c>
      <c r="J62" s="654" t="s">
        <v>147</v>
      </c>
      <c r="K62" s="654" t="s">
        <v>147</v>
      </c>
      <c r="L62" s="654" t="s">
        <v>147</v>
      </c>
      <c r="M62" s="654" t="s">
        <v>147</v>
      </c>
      <c r="N62" s="654" t="s">
        <v>147</v>
      </c>
      <c r="O62" s="654" t="s">
        <v>147</v>
      </c>
      <c r="P62" s="654" t="s">
        <v>147</v>
      </c>
      <c r="Q62" s="654" t="s">
        <v>147</v>
      </c>
      <c r="R62" s="654" t="s">
        <v>147</v>
      </c>
      <c r="S62" s="654" t="s">
        <v>147</v>
      </c>
      <c r="T62" s="624"/>
      <c r="U62" s="654" t="s">
        <v>147</v>
      </c>
      <c r="V62" s="654" t="s">
        <v>147</v>
      </c>
      <c r="W62" s="654" t="s">
        <v>147</v>
      </c>
      <c r="X62" s="654" t="s">
        <v>147</v>
      </c>
      <c r="Y62" s="654" t="s">
        <v>147</v>
      </c>
      <c r="Z62" s="654" t="s">
        <v>147</v>
      </c>
      <c r="AA62" s="654" t="s">
        <v>147</v>
      </c>
      <c r="AB62" s="654" t="s">
        <v>147</v>
      </c>
      <c r="AC62" s="654" t="s">
        <v>147</v>
      </c>
      <c r="AD62" s="655" t="s">
        <v>147</v>
      </c>
    </row>
    <row r="63" spans="2:30" ht="26" customHeight="1" x14ac:dyDescent="0.2">
      <c r="B63" s="653" t="s">
        <v>633</v>
      </c>
      <c r="C63" s="654"/>
      <c r="D63" s="624"/>
      <c r="E63" s="654" t="s">
        <v>145</v>
      </c>
      <c r="F63" s="654" t="s">
        <v>145</v>
      </c>
      <c r="G63" s="654" t="s">
        <v>145</v>
      </c>
      <c r="H63" s="654" t="s">
        <v>145</v>
      </c>
      <c r="I63" s="654" t="s">
        <v>683</v>
      </c>
      <c r="J63" s="654" t="s">
        <v>145</v>
      </c>
      <c r="K63" s="654" t="s">
        <v>145</v>
      </c>
      <c r="L63" s="654" t="s">
        <v>145</v>
      </c>
      <c r="M63" s="654" t="s">
        <v>145</v>
      </c>
      <c r="N63" s="654" t="s">
        <v>145</v>
      </c>
      <c r="O63" s="654" t="s">
        <v>145</v>
      </c>
      <c r="P63" s="654" t="s">
        <v>145</v>
      </c>
      <c r="Q63" s="654" t="s">
        <v>145</v>
      </c>
      <c r="R63" s="654" t="s">
        <v>145</v>
      </c>
      <c r="S63" s="654" t="s">
        <v>145</v>
      </c>
      <c r="T63" s="624"/>
      <c r="U63" s="654" t="s">
        <v>145</v>
      </c>
      <c r="V63" s="654" t="s">
        <v>145</v>
      </c>
      <c r="W63" s="654" t="s">
        <v>145</v>
      </c>
      <c r="X63" s="654" t="s">
        <v>145</v>
      </c>
      <c r="Y63" s="654" t="s">
        <v>145</v>
      </c>
      <c r="Z63" s="654" t="s">
        <v>145</v>
      </c>
      <c r="AA63" s="654" t="s">
        <v>145</v>
      </c>
      <c r="AB63" s="654" t="s">
        <v>145</v>
      </c>
      <c r="AC63" s="654" t="s">
        <v>145</v>
      </c>
      <c r="AD63" s="655" t="s">
        <v>145</v>
      </c>
    </row>
    <row r="64" spans="2:30" ht="26" customHeight="1" thickBot="1" x14ac:dyDescent="0.25">
      <c r="B64" s="656" t="s">
        <v>634</v>
      </c>
      <c r="C64" s="657"/>
      <c r="D64" s="624"/>
      <c r="E64" s="657" t="s">
        <v>146</v>
      </c>
      <c r="F64" s="657" t="s">
        <v>146</v>
      </c>
      <c r="G64" s="657" t="s">
        <v>146</v>
      </c>
      <c r="H64" s="657" t="s">
        <v>146</v>
      </c>
      <c r="I64" s="657" t="s">
        <v>757</v>
      </c>
      <c r="J64" s="657" t="s">
        <v>146</v>
      </c>
      <c r="K64" s="657" t="s">
        <v>146</v>
      </c>
      <c r="L64" s="657" t="s">
        <v>146</v>
      </c>
      <c r="M64" s="657" t="s">
        <v>146</v>
      </c>
      <c r="N64" s="657" t="s">
        <v>146</v>
      </c>
      <c r="O64" s="657" t="s">
        <v>146</v>
      </c>
      <c r="P64" s="657" t="s">
        <v>146</v>
      </c>
      <c r="Q64" s="657" t="s">
        <v>146</v>
      </c>
      <c r="R64" s="657" t="s">
        <v>146</v>
      </c>
      <c r="S64" s="657" t="s">
        <v>146</v>
      </c>
      <c r="T64" s="624"/>
      <c r="U64" s="657" t="s">
        <v>146</v>
      </c>
      <c r="V64" s="657" t="s">
        <v>146</v>
      </c>
      <c r="W64" s="657" t="s">
        <v>146</v>
      </c>
      <c r="X64" s="657" t="s">
        <v>146</v>
      </c>
      <c r="Y64" s="657" t="s">
        <v>146</v>
      </c>
      <c r="Z64" s="657" t="s">
        <v>146</v>
      </c>
      <c r="AA64" s="657" t="s">
        <v>146</v>
      </c>
      <c r="AB64" s="657" t="s">
        <v>146</v>
      </c>
      <c r="AC64" s="657" t="s">
        <v>146</v>
      </c>
      <c r="AD64" s="658" t="s">
        <v>146</v>
      </c>
    </row>
    <row r="65" spans="2:30" ht="26" customHeight="1" thickTop="1" x14ac:dyDescent="0.2">
      <c r="B65" s="659" t="s">
        <v>635</v>
      </c>
      <c r="C65" s="651"/>
      <c r="D65" s="624"/>
      <c r="E65" s="660" t="s">
        <v>419</v>
      </c>
      <c r="F65" s="660" t="s">
        <v>419</v>
      </c>
      <c r="G65" s="660" t="s">
        <v>419</v>
      </c>
      <c r="H65" s="660" t="s">
        <v>419</v>
      </c>
      <c r="I65" s="660" t="s">
        <v>419</v>
      </c>
      <c r="J65" s="660" t="s">
        <v>419</v>
      </c>
      <c r="K65" s="660" t="s">
        <v>419</v>
      </c>
      <c r="L65" s="660" t="s">
        <v>419</v>
      </c>
      <c r="M65" s="660" t="s">
        <v>419</v>
      </c>
      <c r="N65" s="660" t="s">
        <v>419</v>
      </c>
      <c r="O65" s="660" t="s">
        <v>419</v>
      </c>
      <c r="P65" s="660" t="s">
        <v>419</v>
      </c>
      <c r="Q65" s="660" t="s">
        <v>419</v>
      </c>
      <c r="R65" s="660" t="s">
        <v>419</v>
      </c>
      <c r="S65" s="660" t="s">
        <v>419</v>
      </c>
      <c r="T65" s="624"/>
      <c r="U65" s="660" t="s">
        <v>679</v>
      </c>
      <c r="V65" s="660" t="s">
        <v>419</v>
      </c>
      <c r="W65" s="660" t="s">
        <v>419</v>
      </c>
      <c r="X65" s="660" t="s">
        <v>419</v>
      </c>
      <c r="Y65" s="660" t="s">
        <v>419</v>
      </c>
      <c r="Z65" s="660" t="s">
        <v>419</v>
      </c>
      <c r="AA65" s="660" t="s">
        <v>419</v>
      </c>
      <c r="AB65" s="660" t="s">
        <v>419</v>
      </c>
      <c r="AC65" s="660" t="s">
        <v>419</v>
      </c>
      <c r="AD65" s="661" t="s">
        <v>419</v>
      </c>
    </row>
    <row r="66" spans="2:30" ht="26" customHeight="1" x14ac:dyDescent="0.2">
      <c r="B66" s="662" t="s">
        <v>648</v>
      </c>
      <c r="C66" s="654"/>
      <c r="D66" s="624"/>
      <c r="E66" s="654" t="s">
        <v>715</v>
      </c>
      <c r="F66" s="654" t="s">
        <v>715</v>
      </c>
      <c r="G66" s="654" t="s">
        <v>715</v>
      </c>
      <c r="H66" s="654" t="s">
        <v>715</v>
      </c>
      <c r="I66" s="654" t="s">
        <v>715</v>
      </c>
      <c r="J66" s="654" t="s">
        <v>715</v>
      </c>
      <c r="K66" s="654" t="s">
        <v>715</v>
      </c>
      <c r="L66" s="654" t="s">
        <v>715</v>
      </c>
      <c r="M66" s="654" t="s">
        <v>715</v>
      </c>
      <c r="N66" s="654" t="s">
        <v>715</v>
      </c>
      <c r="O66" s="654" t="s">
        <v>715</v>
      </c>
      <c r="P66" s="654" t="s">
        <v>715</v>
      </c>
      <c r="Q66" s="654" t="s">
        <v>715</v>
      </c>
      <c r="R66" s="654" t="s">
        <v>715</v>
      </c>
      <c r="S66" s="654" t="s">
        <v>715</v>
      </c>
      <c r="T66" s="624"/>
      <c r="U66" s="654" t="s">
        <v>710</v>
      </c>
      <c r="V66" s="654" t="s">
        <v>715</v>
      </c>
      <c r="W66" s="654" t="s">
        <v>715</v>
      </c>
      <c r="X66" s="654" t="s">
        <v>715</v>
      </c>
      <c r="Y66" s="654" t="s">
        <v>715</v>
      </c>
      <c r="Z66" s="654" t="s">
        <v>715</v>
      </c>
      <c r="AA66" s="654" t="s">
        <v>715</v>
      </c>
      <c r="AB66" s="654" t="s">
        <v>715</v>
      </c>
      <c r="AC66" s="654" t="s">
        <v>715</v>
      </c>
      <c r="AD66" s="655" t="s">
        <v>715</v>
      </c>
    </row>
    <row r="67" spans="2:30" ht="26" customHeight="1" x14ac:dyDescent="0.2">
      <c r="B67" s="662" t="s">
        <v>636</v>
      </c>
      <c r="C67" s="654"/>
      <c r="D67" s="624"/>
      <c r="E67" s="663" t="s">
        <v>420</v>
      </c>
      <c r="F67" s="663" t="s">
        <v>420</v>
      </c>
      <c r="G67" s="663" t="s">
        <v>420</v>
      </c>
      <c r="H67" s="663" t="s">
        <v>420</v>
      </c>
      <c r="I67" s="663" t="s">
        <v>420</v>
      </c>
      <c r="J67" s="663" t="s">
        <v>420</v>
      </c>
      <c r="K67" s="663" t="s">
        <v>420</v>
      </c>
      <c r="L67" s="663" t="s">
        <v>420</v>
      </c>
      <c r="M67" s="663" t="s">
        <v>420</v>
      </c>
      <c r="N67" s="663" t="s">
        <v>420</v>
      </c>
      <c r="O67" s="663" t="s">
        <v>420</v>
      </c>
      <c r="P67" s="663" t="s">
        <v>420</v>
      </c>
      <c r="Q67" s="663" t="s">
        <v>420</v>
      </c>
      <c r="R67" s="663" t="s">
        <v>420</v>
      </c>
      <c r="S67" s="663" t="s">
        <v>420</v>
      </c>
      <c r="T67" s="624"/>
      <c r="U67" s="663" t="s">
        <v>680</v>
      </c>
      <c r="V67" s="663" t="s">
        <v>420</v>
      </c>
      <c r="W67" s="663" t="s">
        <v>420</v>
      </c>
      <c r="X67" s="663" t="s">
        <v>420</v>
      </c>
      <c r="Y67" s="663" t="s">
        <v>420</v>
      </c>
      <c r="Z67" s="663" t="s">
        <v>420</v>
      </c>
      <c r="AA67" s="663" t="s">
        <v>420</v>
      </c>
      <c r="AB67" s="663" t="s">
        <v>420</v>
      </c>
      <c r="AC67" s="663" t="s">
        <v>420</v>
      </c>
      <c r="AD67" s="664" t="s">
        <v>420</v>
      </c>
    </row>
    <row r="68" spans="2:30" ht="26" customHeight="1" x14ac:dyDescent="0.2">
      <c r="B68" s="662" t="s">
        <v>649</v>
      </c>
      <c r="C68" s="654"/>
      <c r="D68" s="624"/>
      <c r="E68" s="654" t="s">
        <v>715</v>
      </c>
      <c r="F68" s="654" t="s">
        <v>715</v>
      </c>
      <c r="G68" s="654" t="s">
        <v>715</v>
      </c>
      <c r="H68" s="654" t="s">
        <v>715</v>
      </c>
      <c r="I68" s="654" t="s">
        <v>715</v>
      </c>
      <c r="J68" s="654" t="s">
        <v>715</v>
      </c>
      <c r="K68" s="654" t="s">
        <v>715</v>
      </c>
      <c r="L68" s="654" t="s">
        <v>715</v>
      </c>
      <c r="M68" s="654" t="s">
        <v>715</v>
      </c>
      <c r="N68" s="654" t="s">
        <v>715</v>
      </c>
      <c r="O68" s="654" t="s">
        <v>715</v>
      </c>
      <c r="P68" s="654" t="s">
        <v>715</v>
      </c>
      <c r="Q68" s="654" t="s">
        <v>715</v>
      </c>
      <c r="R68" s="654" t="s">
        <v>715</v>
      </c>
      <c r="S68" s="654" t="s">
        <v>715</v>
      </c>
      <c r="T68" s="624"/>
      <c r="U68" s="654" t="s">
        <v>711</v>
      </c>
      <c r="V68" s="654" t="s">
        <v>715</v>
      </c>
      <c r="W68" s="654" t="s">
        <v>715</v>
      </c>
      <c r="X68" s="654" t="s">
        <v>715</v>
      </c>
      <c r="Y68" s="654" t="s">
        <v>715</v>
      </c>
      <c r="Z68" s="654" t="s">
        <v>715</v>
      </c>
      <c r="AA68" s="654" t="s">
        <v>715</v>
      </c>
      <c r="AB68" s="654" t="s">
        <v>715</v>
      </c>
      <c r="AC68" s="654" t="s">
        <v>715</v>
      </c>
      <c r="AD68" s="655" t="s">
        <v>715</v>
      </c>
    </row>
    <row r="69" spans="2:30" ht="26" customHeight="1" x14ac:dyDescent="0.2">
      <c r="B69" s="662" t="s">
        <v>637</v>
      </c>
      <c r="C69" s="654"/>
      <c r="D69" s="624"/>
      <c r="E69" s="663" t="s">
        <v>430</v>
      </c>
      <c r="F69" s="663" t="s">
        <v>430</v>
      </c>
      <c r="G69" s="663" t="s">
        <v>430</v>
      </c>
      <c r="H69" s="663" t="s">
        <v>430</v>
      </c>
      <c r="I69" s="663" t="s">
        <v>430</v>
      </c>
      <c r="J69" s="663" t="s">
        <v>430</v>
      </c>
      <c r="K69" s="663" t="s">
        <v>430</v>
      </c>
      <c r="L69" s="663" t="s">
        <v>430</v>
      </c>
      <c r="M69" s="663" t="s">
        <v>430</v>
      </c>
      <c r="N69" s="663" t="s">
        <v>430</v>
      </c>
      <c r="O69" s="663" t="s">
        <v>430</v>
      </c>
      <c r="P69" s="663" t="s">
        <v>430</v>
      </c>
      <c r="Q69" s="663" t="s">
        <v>430</v>
      </c>
      <c r="R69" s="663" t="s">
        <v>430</v>
      </c>
      <c r="S69" s="663" t="s">
        <v>430</v>
      </c>
      <c r="T69" s="624"/>
      <c r="U69" s="663" t="s">
        <v>681</v>
      </c>
      <c r="V69" s="663" t="s">
        <v>430</v>
      </c>
      <c r="W69" s="663" t="s">
        <v>430</v>
      </c>
      <c r="X69" s="663" t="s">
        <v>430</v>
      </c>
      <c r="Y69" s="663" t="s">
        <v>430</v>
      </c>
      <c r="Z69" s="663" t="s">
        <v>430</v>
      </c>
      <c r="AA69" s="663" t="s">
        <v>430</v>
      </c>
      <c r="AB69" s="663" t="s">
        <v>430</v>
      </c>
      <c r="AC69" s="663" t="s">
        <v>430</v>
      </c>
      <c r="AD69" s="664" t="s">
        <v>430</v>
      </c>
    </row>
    <row r="70" spans="2:30" ht="26" customHeight="1" x14ac:dyDescent="0.2">
      <c r="B70" s="662" t="s">
        <v>650</v>
      </c>
      <c r="C70" s="654"/>
      <c r="D70" s="624"/>
      <c r="E70" s="654" t="s">
        <v>715</v>
      </c>
      <c r="F70" s="654" t="s">
        <v>715</v>
      </c>
      <c r="G70" s="654" t="s">
        <v>715</v>
      </c>
      <c r="H70" s="654" t="s">
        <v>715</v>
      </c>
      <c r="I70" s="654" t="s">
        <v>715</v>
      </c>
      <c r="J70" s="654" t="s">
        <v>715</v>
      </c>
      <c r="K70" s="654" t="s">
        <v>715</v>
      </c>
      <c r="L70" s="654" t="s">
        <v>715</v>
      </c>
      <c r="M70" s="654" t="s">
        <v>715</v>
      </c>
      <c r="N70" s="654" t="s">
        <v>715</v>
      </c>
      <c r="O70" s="654" t="s">
        <v>715</v>
      </c>
      <c r="P70" s="654" t="s">
        <v>715</v>
      </c>
      <c r="Q70" s="654" t="s">
        <v>715</v>
      </c>
      <c r="R70" s="654" t="s">
        <v>715</v>
      </c>
      <c r="S70" s="654" t="s">
        <v>715</v>
      </c>
      <c r="T70" s="624"/>
      <c r="U70" s="654" t="s">
        <v>712</v>
      </c>
      <c r="V70" s="654" t="s">
        <v>715</v>
      </c>
      <c r="W70" s="654" t="s">
        <v>715</v>
      </c>
      <c r="X70" s="654" t="s">
        <v>715</v>
      </c>
      <c r="Y70" s="654" t="s">
        <v>715</v>
      </c>
      <c r="Z70" s="654" t="s">
        <v>715</v>
      </c>
      <c r="AA70" s="654" t="s">
        <v>715</v>
      </c>
      <c r="AB70" s="654" t="s">
        <v>715</v>
      </c>
      <c r="AC70" s="654" t="s">
        <v>715</v>
      </c>
      <c r="AD70" s="655" t="s">
        <v>715</v>
      </c>
    </row>
    <row r="71" spans="2:30" ht="26" customHeight="1" x14ac:dyDescent="0.2">
      <c r="B71" s="662" t="s">
        <v>638</v>
      </c>
      <c r="C71" s="654"/>
      <c r="D71" s="624"/>
      <c r="E71" s="663" t="s">
        <v>709</v>
      </c>
      <c r="F71" s="663" t="s">
        <v>709</v>
      </c>
      <c r="G71" s="663" t="s">
        <v>709</v>
      </c>
      <c r="H71" s="663" t="s">
        <v>709</v>
      </c>
      <c r="I71" s="663" t="s">
        <v>709</v>
      </c>
      <c r="J71" s="663" t="s">
        <v>709</v>
      </c>
      <c r="K71" s="663" t="s">
        <v>709</v>
      </c>
      <c r="L71" s="663" t="s">
        <v>709</v>
      </c>
      <c r="M71" s="663" t="s">
        <v>709</v>
      </c>
      <c r="N71" s="663" t="s">
        <v>709</v>
      </c>
      <c r="O71" s="663" t="s">
        <v>709</v>
      </c>
      <c r="P71" s="663" t="s">
        <v>709</v>
      </c>
      <c r="Q71" s="663" t="s">
        <v>709</v>
      </c>
      <c r="R71" s="663" t="s">
        <v>709</v>
      </c>
      <c r="S71" s="663" t="s">
        <v>709</v>
      </c>
      <c r="T71" s="624"/>
      <c r="U71" s="663" t="s">
        <v>709</v>
      </c>
      <c r="V71" s="663" t="s">
        <v>709</v>
      </c>
      <c r="W71" s="663" t="s">
        <v>709</v>
      </c>
      <c r="X71" s="663" t="s">
        <v>709</v>
      </c>
      <c r="Y71" s="663" t="s">
        <v>709</v>
      </c>
      <c r="Z71" s="663" t="s">
        <v>709</v>
      </c>
      <c r="AA71" s="663" t="s">
        <v>709</v>
      </c>
      <c r="AB71" s="663" t="s">
        <v>709</v>
      </c>
      <c r="AC71" s="663" t="s">
        <v>709</v>
      </c>
      <c r="AD71" s="664" t="s">
        <v>709</v>
      </c>
    </row>
    <row r="72" spans="2:30" ht="26" customHeight="1" x14ac:dyDescent="0.2">
      <c r="B72" s="662" t="s">
        <v>651</v>
      </c>
      <c r="C72" s="654"/>
      <c r="D72" s="624"/>
      <c r="E72" s="654" t="s">
        <v>715</v>
      </c>
      <c r="F72" s="654" t="s">
        <v>715</v>
      </c>
      <c r="G72" s="654" t="s">
        <v>715</v>
      </c>
      <c r="H72" s="654" t="s">
        <v>715</v>
      </c>
      <c r="I72" s="654" t="s">
        <v>715</v>
      </c>
      <c r="J72" s="654" t="s">
        <v>715</v>
      </c>
      <c r="K72" s="654" t="s">
        <v>715</v>
      </c>
      <c r="L72" s="654" t="s">
        <v>715</v>
      </c>
      <c r="M72" s="654" t="s">
        <v>715</v>
      </c>
      <c r="N72" s="654" t="s">
        <v>715</v>
      </c>
      <c r="O72" s="654" t="s">
        <v>715</v>
      </c>
      <c r="P72" s="654" t="s">
        <v>715</v>
      </c>
      <c r="Q72" s="654" t="s">
        <v>715</v>
      </c>
      <c r="R72" s="654" t="s">
        <v>715</v>
      </c>
      <c r="S72" s="654" t="s">
        <v>715</v>
      </c>
      <c r="T72" s="624"/>
      <c r="U72" s="654" t="s">
        <v>715</v>
      </c>
      <c r="V72" s="654" t="s">
        <v>715</v>
      </c>
      <c r="W72" s="654" t="s">
        <v>715</v>
      </c>
      <c r="X72" s="654" t="s">
        <v>715</v>
      </c>
      <c r="Y72" s="654" t="s">
        <v>715</v>
      </c>
      <c r="Z72" s="654" t="s">
        <v>715</v>
      </c>
      <c r="AA72" s="654" t="s">
        <v>715</v>
      </c>
      <c r="AB72" s="654" t="s">
        <v>715</v>
      </c>
      <c r="AC72" s="654" t="s">
        <v>715</v>
      </c>
      <c r="AD72" s="655" t="s">
        <v>715</v>
      </c>
    </row>
    <row r="73" spans="2:30" ht="26" customHeight="1" x14ac:dyDescent="0.2">
      <c r="B73" s="662" t="s">
        <v>639</v>
      </c>
      <c r="C73" s="654"/>
      <c r="D73" s="624"/>
      <c r="E73" s="663" t="s">
        <v>421</v>
      </c>
      <c r="F73" s="663" t="s">
        <v>421</v>
      </c>
      <c r="G73" s="663" t="s">
        <v>421</v>
      </c>
      <c r="H73" s="663" t="s">
        <v>421</v>
      </c>
      <c r="I73" s="663" t="s">
        <v>421</v>
      </c>
      <c r="J73" s="663" t="s">
        <v>421</v>
      </c>
      <c r="K73" s="663" t="s">
        <v>421</v>
      </c>
      <c r="L73" s="663" t="s">
        <v>421</v>
      </c>
      <c r="M73" s="663" t="s">
        <v>421</v>
      </c>
      <c r="N73" s="663" t="s">
        <v>421</v>
      </c>
      <c r="O73" s="663" t="s">
        <v>421</v>
      </c>
      <c r="P73" s="663" t="s">
        <v>421</v>
      </c>
      <c r="Q73" s="663" t="s">
        <v>421</v>
      </c>
      <c r="R73" s="663" t="s">
        <v>421</v>
      </c>
      <c r="S73" s="663" t="s">
        <v>421</v>
      </c>
      <c r="T73" s="624"/>
      <c r="U73" s="663" t="s">
        <v>421</v>
      </c>
      <c r="V73" s="663" t="s">
        <v>421</v>
      </c>
      <c r="W73" s="663" t="s">
        <v>421</v>
      </c>
      <c r="X73" s="663" t="s">
        <v>421</v>
      </c>
      <c r="Y73" s="663" t="s">
        <v>421</v>
      </c>
      <c r="Z73" s="663" t="s">
        <v>421</v>
      </c>
      <c r="AA73" s="663" t="s">
        <v>421</v>
      </c>
      <c r="AB73" s="663" t="s">
        <v>421</v>
      </c>
      <c r="AC73" s="663" t="s">
        <v>421</v>
      </c>
      <c r="AD73" s="664" t="s">
        <v>421</v>
      </c>
    </row>
    <row r="74" spans="2:30" ht="26" customHeight="1" x14ac:dyDescent="0.2">
      <c r="B74" s="662" t="s">
        <v>652</v>
      </c>
      <c r="C74" s="654"/>
      <c r="D74" s="624"/>
      <c r="E74" s="654" t="s">
        <v>715</v>
      </c>
      <c r="F74" s="654" t="s">
        <v>715</v>
      </c>
      <c r="G74" s="654" t="s">
        <v>715</v>
      </c>
      <c r="H74" s="654" t="s">
        <v>715</v>
      </c>
      <c r="I74" s="654" t="s">
        <v>715</v>
      </c>
      <c r="J74" s="654" t="s">
        <v>715</v>
      </c>
      <c r="K74" s="654" t="s">
        <v>715</v>
      </c>
      <c r="L74" s="654" t="s">
        <v>715</v>
      </c>
      <c r="M74" s="654" t="s">
        <v>715</v>
      </c>
      <c r="N74" s="654" t="s">
        <v>715</v>
      </c>
      <c r="O74" s="654" t="s">
        <v>715</v>
      </c>
      <c r="P74" s="654" t="s">
        <v>715</v>
      </c>
      <c r="Q74" s="654" t="s">
        <v>715</v>
      </c>
      <c r="R74" s="654" t="s">
        <v>715</v>
      </c>
      <c r="S74" s="654" t="s">
        <v>715</v>
      </c>
      <c r="T74" s="624"/>
      <c r="U74" s="654" t="s">
        <v>715</v>
      </c>
      <c r="V74" s="654" t="s">
        <v>715</v>
      </c>
      <c r="W74" s="654" t="s">
        <v>715</v>
      </c>
      <c r="X74" s="654" t="s">
        <v>715</v>
      </c>
      <c r="Y74" s="654" t="s">
        <v>715</v>
      </c>
      <c r="Z74" s="654" t="s">
        <v>715</v>
      </c>
      <c r="AA74" s="654" t="s">
        <v>715</v>
      </c>
      <c r="AB74" s="654" t="s">
        <v>715</v>
      </c>
      <c r="AC74" s="654" t="s">
        <v>715</v>
      </c>
      <c r="AD74" s="655" t="s">
        <v>715</v>
      </c>
    </row>
    <row r="75" spans="2:30" ht="26" customHeight="1" x14ac:dyDescent="0.2">
      <c r="B75" s="662" t="s">
        <v>640</v>
      </c>
      <c r="C75" s="654"/>
      <c r="D75" s="624"/>
      <c r="E75" s="663" t="s">
        <v>423</v>
      </c>
      <c r="F75" s="663" t="s">
        <v>423</v>
      </c>
      <c r="G75" s="663" t="s">
        <v>423</v>
      </c>
      <c r="H75" s="663" t="s">
        <v>423</v>
      </c>
      <c r="I75" s="663" t="s">
        <v>423</v>
      </c>
      <c r="J75" s="663" t="s">
        <v>423</v>
      </c>
      <c r="K75" s="663" t="s">
        <v>423</v>
      </c>
      <c r="L75" s="663" t="s">
        <v>423</v>
      </c>
      <c r="M75" s="663" t="s">
        <v>423</v>
      </c>
      <c r="N75" s="663" t="s">
        <v>423</v>
      </c>
      <c r="O75" s="663" t="s">
        <v>423</v>
      </c>
      <c r="P75" s="663" t="s">
        <v>423</v>
      </c>
      <c r="Q75" s="663" t="s">
        <v>423</v>
      </c>
      <c r="R75" s="663" t="s">
        <v>423</v>
      </c>
      <c r="S75" s="663" t="s">
        <v>423</v>
      </c>
      <c r="T75" s="624"/>
      <c r="U75" s="663" t="s">
        <v>423</v>
      </c>
      <c r="V75" s="663" t="s">
        <v>423</v>
      </c>
      <c r="W75" s="663" t="s">
        <v>423</v>
      </c>
      <c r="X75" s="663" t="s">
        <v>423</v>
      </c>
      <c r="Y75" s="663" t="s">
        <v>423</v>
      </c>
      <c r="Z75" s="663" t="s">
        <v>423</v>
      </c>
      <c r="AA75" s="663" t="s">
        <v>423</v>
      </c>
      <c r="AB75" s="663" t="s">
        <v>423</v>
      </c>
      <c r="AC75" s="663" t="s">
        <v>423</v>
      </c>
      <c r="AD75" s="664" t="s">
        <v>423</v>
      </c>
    </row>
    <row r="76" spans="2:30" ht="26" customHeight="1" x14ac:dyDescent="0.2">
      <c r="B76" s="662" t="s">
        <v>653</v>
      </c>
      <c r="C76" s="654"/>
      <c r="D76" s="624"/>
      <c r="E76" s="654" t="s">
        <v>715</v>
      </c>
      <c r="F76" s="654" t="s">
        <v>715</v>
      </c>
      <c r="G76" s="654" t="s">
        <v>715</v>
      </c>
      <c r="H76" s="654" t="s">
        <v>715</v>
      </c>
      <c r="I76" s="654" t="s">
        <v>715</v>
      </c>
      <c r="J76" s="654" t="s">
        <v>715</v>
      </c>
      <c r="K76" s="654" t="s">
        <v>715</v>
      </c>
      <c r="L76" s="654" t="s">
        <v>715</v>
      </c>
      <c r="M76" s="654" t="s">
        <v>715</v>
      </c>
      <c r="N76" s="654" t="s">
        <v>715</v>
      </c>
      <c r="O76" s="654" t="s">
        <v>715</v>
      </c>
      <c r="P76" s="654" t="s">
        <v>715</v>
      </c>
      <c r="Q76" s="654" t="s">
        <v>715</v>
      </c>
      <c r="R76" s="654" t="s">
        <v>715</v>
      </c>
      <c r="S76" s="654" t="s">
        <v>715</v>
      </c>
      <c r="T76" s="624"/>
      <c r="U76" s="654" t="s">
        <v>715</v>
      </c>
      <c r="V76" s="654" t="s">
        <v>715</v>
      </c>
      <c r="W76" s="654" t="s">
        <v>715</v>
      </c>
      <c r="X76" s="654" t="s">
        <v>715</v>
      </c>
      <c r="Y76" s="654" t="s">
        <v>715</v>
      </c>
      <c r="Z76" s="654" t="s">
        <v>715</v>
      </c>
      <c r="AA76" s="654" t="s">
        <v>715</v>
      </c>
      <c r="AB76" s="654" t="s">
        <v>715</v>
      </c>
      <c r="AC76" s="654" t="s">
        <v>715</v>
      </c>
      <c r="AD76" s="655" t="s">
        <v>715</v>
      </c>
    </row>
    <row r="77" spans="2:30" ht="26" customHeight="1" x14ac:dyDescent="0.2">
      <c r="B77" s="662" t="s">
        <v>641</v>
      </c>
      <c r="C77" s="654"/>
      <c r="D77" s="624"/>
      <c r="E77" s="663" t="s">
        <v>422</v>
      </c>
      <c r="F77" s="663" t="s">
        <v>422</v>
      </c>
      <c r="G77" s="663" t="s">
        <v>422</v>
      </c>
      <c r="H77" s="663" t="s">
        <v>422</v>
      </c>
      <c r="I77" s="663" t="s">
        <v>422</v>
      </c>
      <c r="J77" s="663" t="s">
        <v>422</v>
      </c>
      <c r="K77" s="663" t="s">
        <v>422</v>
      </c>
      <c r="L77" s="663" t="s">
        <v>422</v>
      </c>
      <c r="M77" s="663" t="s">
        <v>422</v>
      </c>
      <c r="N77" s="663" t="s">
        <v>422</v>
      </c>
      <c r="O77" s="663" t="s">
        <v>422</v>
      </c>
      <c r="P77" s="663" t="s">
        <v>422</v>
      </c>
      <c r="Q77" s="663" t="s">
        <v>422</v>
      </c>
      <c r="R77" s="663" t="s">
        <v>422</v>
      </c>
      <c r="S77" s="663" t="s">
        <v>422</v>
      </c>
      <c r="T77" s="624"/>
      <c r="U77" s="663" t="s">
        <v>422</v>
      </c>
      <c r="V77" s="663" t="s">
        <v>422</v>
      </c>
      <c r="W77" s="663" t="s">
        <v>422</v>
      </c>
      <c r="X77" s="663" t="s">
        <v>422</v>
      </c>
      <c r="Y77" s="663" t="s">
        <v>422</v>
      </c>
      <c r="Z77" s="663" t="s">
        <v>422</v>
      </c>
      <c r="AA77" s="663" t="s">
        <v>422</v>
      </c>
      <c r="AB77" s="663" t="s">
        <v>422</v>
      </c>
      <c r="AC77" s="663" t="s">
        <v>422</v>
      </c>
      <c r="AD77" s="664" t="s">
        <v>422</v>
      </c>
    </row>
    <row r="78" spans="2:30" ht="26" customHeight="1" x14ac:dyDescent="0.2">
      <c r="B78" s="662" t="s">
        <v>654</v>
      </c>
      <c r="C78" s="654"/>
      <c r="D78" s="624"/>
      <c r="E78" s="654" t="s">
        <v>715</v>
      </c>
      <c r="F78" s="654" t="s">
        <v>715</v>
      </c>
      <c r="G78" s="654" t="s">
        <v>715</v>
      </c>
      <c r="H78" s="654" t="s">
        <v>715</v>
      </c>
      <c r="I78" s="654" t="s">
        <v>715</v>
      </c>
      <c r="J78" s="654" t="s">
        <v>715</v>
      </c>
      <c r="K78" s="654" t="s">
        <v>715</v>
      </c>
      <c r="L78" s="654" t="s">
        <v>715</v>
      </c>
      <c r="M78" s="654" t="s">
        <v>715</v>
      </c>
      <c r="N78" s="654" t="s">
        <v>715</v>
      </c>
      <c r="O78" s="654" t="s">
        <v>715</v>
      </c>
      <c r="P78" s="654" t="s">
        <v>715</v>
      </c>
      <c r="Q78" s="654" t="s">
        <v>715</v>
      </c>
      <c r="R78" s="654" t="s">
        <v>715</v>
      </c>
      <c r="S78" s="654" t="s">
        <v>715</v>
      </c>
      <c r="T78" s="624"/>
      <c r="U78" s="654" t="s">
        <v>715</v>
      </c>
      <c r="V78" s="654" t="s">
        <v>715</v>
      </c>
      <c r="W78" s="654" t="s">
        <v>715</v>
      </c>
      <c r="X78" s="654" t="s">
        <v>715</v>
      </c>
      <c r="Y78" s="654" t="s">
        <v>715</v>
      </c>
      <c r="Z78" s="654" t="s">
        <v>715</v>
      </c>
      <c r="AA78" s="654" t="s">
        <v>715</v>
      </c>
      <c r="AB78" s="654" t="s">
        <v>715</v>
      </c>
      <c r="AC78" s="654" t="s">
        <v>715</v>
      </c>
      <c r="AD78" s="655" t="s">
        <v>715</v>
      </c>
    </row>
    <row r="79" spans="2:30" ht="26" customHeight="1" x14ac:dyDescent="0.2">
      <c r="B79" s="662" t="s">
        <v>642</v>
      </c>
      <c r="C79" s="654"/>
      <c r="D79" s="624"/>
      <c r="E79" s="663" t="s">
        <v>424</v>
      </c>
      <c r="F79" s="663" t="s">
        <v>424</v>
      </c>
      <c r="G79" s="663" t="s">
        <v>424</v>
      </c>
      <c r="H79" s="663" t="s">
        <v>424</v>
      </c>
      <c r="I79" s="663" t="s">
        <v>424</v>
      </c>
      <c r="J79" s="663" t="s">
        <v>424</v>
      </c>
      <c r="K79" s="663" t="s">
        <v>424</v>
      </c>
      <c r="L79" s="663" t="s">
        <v>424</v>
      </c>
      <c r="M79" s="663" t="s">
        <v>424</v>
      </c>
      <c r="N79" s="663" t="s">
        <v>424</v>
      </c>
      <c r="O79" s="663" t="s">
        <v>424</v>
      </c>
      <c r="P79" s="663" t="s">
        <v>424</v>
      </c>
      <c r="Q79" s="663" t="s">
        <v>424</v>
      </c>
      <c r="R79" s="663" t="s">
        <v>424</v>
      </c>
      <c r="S79" s="663" t="s">
        <v>424</v>
      </c>
      <c r="T79" s="624"/>
      <c r="U79" s="663" t="s">
        <v>424</v>
      </c>
      <c r="V79" s="663" t="s">
        <v>424</v>
      </c>
      <c r="W79" s="663" t="s">
        <v>424</v>
      </c>
      <c r="X79" s="663" t="s">
        <v>424</v>
      </c>
      <c r="Y79" s="663" t="s">
        <v>424</v>
      </c>
      <c r="Z79" s="663" t="s">
        <v>424</v>
      </c>
      <c r="AA79" s="663" t="s">
        <v>424</v>
      </c>
      <c r="AB79" s="663" t="s">
        <v>424</v>
      </c>
      <c r="AC79" s="663" t="s">
        <v>424</v>
      </c>
      <c r="AD79" s="664" t="s">
        <v>424</v>
      </c>
    </row>
    <row r="80" spans="2:30" ht="26" customHeight="1" x14ac:dyDescent="0.2">
      <c r="B80" s="662" t="s">
        <v>655</v>
      </c>
      <c r="C80" s="654"/>
      <c r="D80" s="624"/>
      <c r="E80" s="654" t="s">
        <v>715</v>
      </c>
      <c r="F80" s="654" t="s">
        <v>715</v>
      </c>
      <c r="G80" s="654" t="s">
        <v>715</v>
      </c>
      <c r="H80" s="654" t="s">
        <v>715</v>
      </c>
      <c r="I80" s="654" t="s">
        <v>715</v>
      </c>
      <c r="J80" s="654" t="s">
        <v>715</v>
      </c>
      <c r="K80" s="654" t="s">
        <v>715</v>
      </c>
      <c r="L80" s="654" t="s">
        <v>715</v>
      </c>
      <c r="M80" s="654" t="s">
        <v>715</v>
      </c>
      <c r="N80" s="654" t="s">
        <v>715</v>
      </c>
      <c r="O80" s="654" t="s">
        <v>715</v>
      </c>
      <c r="P80" s="654" t="s">
        <v>715</v>
      </c>
      <c r="Q80" s="654" t="s">
        <v>715</v>
      </c>
      <c r="R80" s="654" t="s">
        <v>715</v>
      </c>
      <c r="S80" s="654" t="s">
        <v>715</v>
      </c>
      <c r="T80" s="624"/>
      <c r="U80" s="654" t="s">
        <v>715</v>
      </c>
      <c r="V80" s="654" t="s">
        <v>715</v>
      </c>
      <c r="W80" s="654" t="s">
        <v>715</v>
      </c>
      <c r="X80" s="654" t="s">
        <v>715</v>
      </c>
      <c r="Y80" s="654" t="s">
        <v>715</v>
      </c>
      <c r="Z80" s="654" t="s">
        <v>715</v>
      </c>
      <c r="AA80" s="654" t="s">
        <v>715</v>
      </c>
      <c r="AB80" s="654" t="s">
        <v>715</v>
      </c>
      <c r="AC80" s="654" t="s">
        <v>715</v>
      </c>
      <c r="AD80" s="655" t="s">
        <v>715</v>
      </c>
    </row>
    <row r="81" spans="2:30" ht="26" customHeight="1" x14ac:dyDescent="0.2">
      <c r="B81" s="662" t="s">
        <v>643</v>
      </c>
      <c r="C81" s="654"/>
      <c r="D81" s="624"/>
      <c r="E81" s="663" t="s">
        <v>431</v>
      </c>
      <c r="F81" s="663" t="s">
        <v>431</v>
      </c>
      <c r="G81" s="663" t="s">
        <v>431</v>
      </c>
      <c r="H81" s="663" t="s">
        <v>431</v>
      </c>
      <c r="I81" s="663" t="s">
        <v>431</v>
      </c>
      <c r="J81" s="663" t="s">
        <v>431</v>
      </c>
      <c r="K81" s="663" t="s">
        <v>431</v>
      </c>
      <c r="L81" s="663" t="s">
        <v>431</v>
      </c>
      <c r="M81" s="663" t="s">
        <v>431</v>
      </c>
      <c r="N81" s="663" t="s">
        <v>431</v>
      </c>
      <c r="O81" s="663" t="s">
        <v>431</v>
      </c>
      <c r="P81" s="663" t="s">
        <v>431</v>
      </c>
      <c r="Q81" s="663" t="s">
        <v>431</v>
      </c>
      <c r="R81" s="663" t="s">
        <v>431</v>
      </c>
      <c r="S81" s="663" t="s">
        <v>431</v>
      </c>
      <c r="T81" s="624"/>
      <c r="U81" s="663" t="s">
        <v>431</v>
      </c>
      <c r="V81" s="663" t="s">
        <v>431</v>
      </c>
      <c r="W81" s="663" t="s">
        <v>431</v>
      </c>
      <c r="X81" s="663" t="s">
        <v>431</v>
      </c>
      <c r="Y81" s="663" t="s">
        <v>431</v>
      </c>
      <c r="Z81" s="663" t="s">
        <v>431</v>
      </c>
      <c r="AA81" s="663" t="s">
        <v>431</v>
      </c>
      <c r="AB81" s="663" t="s">
        <v>431</v>
      </c>
      <c r="AC81" s="663" t="s">
        <v>431</v>
      </c>
      <c r="AD81" s="664" t="s">
        <v>431</v>
      </c>
    </row>
    <row r="82" spans="2:30" ht="26" customHeight="1" x14ac:dyDescent="0.2">
      <c r="B82" s="662" t="s">
        <v>656</v>
      </c>
      <c r="C82" s="654"/>
      <c r="D82" s="624"/>
      <c r="E82" s="654" t="s">
        <v>715</v>
      </c>
      <c r="F82" s="654" t="s">
        <v>715</v>
      </c>
      <c r="G82" s="654" t="s">
        <v>715</v>
      </c>
      <c r="H82" s="654" t="s">
        <v>715</v>
      </c>
      <c r="I82" s="654" t="s">
        <v>715</v>
      </c>
      <c r="J82" s="654" t="s">
        <v>715</v>
      </c>
      <c r="K82" s="654" t="s">
        <v>715</v>
      </c>
      <c r="L82" s="654" t="s">
        <v>715</v>
      </c>
      <c r="M82" s="654" t="s">
        <v>715</v>
      </c>
      <c r="N82" s="654" t="s">
        <v>715</v>
      </c>
      <c r="O82" s="654" t="s">
        <v>715</v>
      </c>
      <c r="P82" s="654" t="s">
        <v>715</v>
      </c>
      <c r="Q82" s="654" t="s">
        <v>715</v>
      </c>
      <c r="R82" s="654" t="s">
        <v>715</v>
      </c>
      <c r="S82" s="654" t="s">
        <v>715</v>
      </c>
      <c r="T82" s="624"/>
      <c r="U82" s="654" t="s">
        <v>715</v>
      </c>
      <c r="V82" s="654" t="s">
        <v>715</v>
      </c>
      <c r="W82" s="654" t="s">
        <v>715</v>
      </c>
      <c r="X82" s="654" t="s">
        <v>715</v>
      </c>
      <c r="Y82" s="654" t="s">
        <v>715</v>
      </c>
      <c r="Z82" s="654" t="s">
        <v>715</v>
      </c>
      <c r="AA82" s="654" t="s">
        <v>715</v>
      </c>
      <c r="AB82" s="654" t="s">
        <v>715</v>
      </c>
      <c r="AC82" s="654" t="s">
        <v>715</v>
      </c>
      <c r="AD82" s="655" t="s">
        <v>715</v>
      </c>
    </row>
    <row r="83" spans="2:30" ht="26" customHeight="1" x14ac:dyDescent="0.2">
      <c r="B83" s="662" t="s">
        <v>644</v>
      </c>
      <c r="C83" s="654"/>
      <c r="D83" s="624"/>
      <c r="E83" s="663" t="s">
        <v>425</v>
      </c>
      <c r="F83" s="663" t="s">
        <v>425</v>
      </c>
      <c r="G83" s="663" t="s">
        <v>425</v>
      </c>
      <c r="H83" s="663" t="s">
        <v>425</v>
      </c>
      <c r="I83" s="663" t="s">
        <v>425</v>
      </c>
      <c r="J83" s="663" t="s">
        <v>425</v>
      </c>
      <c r="K83" s="663" t="s">
        <v>425</v>
      </c>
      <c r="L83" s="663" t="s">
        <v>425</v>
      </c>
      <c r="M83" s="663" t="s">
        <v>425</v>
      </c>
      <c r="N83" s="663" t="s">
        <v>425</v>
      </c>
      <c r="O83" s="663" t="s">
        <v>425</v>
      </c>
      <c r="P83" s="663" t="s">
        <v>425</v>
      </c>
      <c r="Q83" s="663" t="s">
        <v>425</v>
      </c>
      <c r="R83" s="663" t="s">
        <v>425</v>
      </c>
      <c r="S83" s="663" t="s">
        <v>425</v>
      </c>
      <c r="T83" s="624"/>
      <c r="U83" s="663" t="s">
        <v>425</v>
      </c>
      <c r="V83" s="663" t="s">
        <v>425</v>
      </c>
      <c r="W83" s="663" t="s">
        <v>425</v>
      </c>
      <c r="X83" s="663" t="s">
        <v>425</v>
      </c>
      <c r="Y83" s="663" t="s">
        <v>425</v>
      </c>
      <c r="Z83" s="663" t="s">
        <v>425</v>
      </c>
      <c r="AA83" s="663" t="s">
        <v>425</v>
      </c>
      <c r="AB83" s="663" t="s">
        <v>425</v>
      </c>
      <c r="AC83" s="663" t="s">
        <v>425</v>
      </c>
      <c r="AD83" s="664" t="s">
        <v>425</v>
      </c>
    </row>
    <row r="84" spans="2:30" ht="26" customHeight="1" x14ac:dyDescent="0.2">
      <c r="B84" s="662" t="s">
        <v>657</v>
      </c>
      <c r="C84" s="654"/>
      <c r="D84" s="624"/>
      <c r="E84" s="654" t="s">
        <v>715</v>
      </c>
      <c r="F84" s="654" t="s">
        <v>715</v>
      </c>
      <c r="G84" s="654" t="s">
        <v>715</v>
      </c>
      <c r="H84" s="654" t="s">
        <v>715</v>
      </c>
      <c r="I84" s="654" t="s">
        <v>715</v>
      </c>
      <c r="J84" s="654" t="s">
        <v>715</v>
      </c>
      <c r="K84" s="654" t="s">
        <v>715</v>
      </c>
      <c r="L84" s="654" t="s">
        <v>715</v>
      </c>
      <c r="M84" s="654" t="s">
        <v>715</v>
      </c>
      <c r="N84" s="654" t="s">
        <v>715</v>
      </c>
      <c r="O84" s="654" t="s">
        <v>715</v>
      </c>
      <c r="P84" s="654" t="s">
        <v>715</v>
      </c>
      <c r="Q84" s="654" t="s">
        <v>715</v>
      </c>
      <c r="R84" s="654" t="s">
        <v>715</v>
      </c>
      <c r="S84" s="654" t="s">
        <v>715</v>
      </c>
      <c r="T84" s="624"/>
      <c r="U84" s="654" t="s">
        <v>715</v>
      </c>
      <c r="V84" s="654" t="s">
        <v>715</v>
      </c>
      <c r="W84" s="654" t="s">
        <v>715</v>
      </c>
      <c r="X84" s="654" t="s">
        <v>715</v>
      </c>
      <c r="Y84" s="654" t="s">
        <v>715</v>
      </c>
      <c r="Z84" s="654" t="s">
        <v>715</v>
      </c>
      <c r="AA84" s="654" t="s">
        <v>715</v>
      </c>
      <c r="AB84" s="654" t="s">
        <v>715</v>
      </c>
      <c r="AC84" s="654" t="s">
        <v>715</v>
      </c>
      <c r="AD84" s="655" t="s">
        <v>715</v>
      </c>
    </row>
    <row r="85" spans="2:30" ht="26" customHeight="1" x14ac:dyDescent="0.2">
      <c r="B85" s="662" t="s">
        <v>645</v>
      </c>
      <c r="C85" s="654"/>
      <c r="D85" s="624"/>
      <c r="E85" s="663" t="s">
        <v>426</v>
      </c>
      <c r="F85" s="663" t="s">
        <v>426</v>
      </c>
      <c r="G85" s="663" t="s">
        <v>426</v>
      </c>
      <c r="H85" s="663" t="s">
        <v>426</v>
      </c>
      <c r="I85" s="663" t="s">
        <v>426</v>
      </c>
      <c r="J85" s="663" t="s">
        <v>426</v>
      </c>
      <c r="K85" s="663" t="s">
        <v>426</v>
      </c>
      <c r="L85" s="663" t="s">
        <v>426</v>
      </c>
      <c r="M85" s="663" t="s">
        <v>426</v>
      </c>
      <c r="N85" s="663" t="s">
        <v>426</v>
      </c>
      <c r="O85" s="663" t="s">
        <v>426</v>
      </c>
      <c r="P85" s="663" t="s">
        <v>426</v>
      </c>
      <c r="Q85" s="663" t="s">
        <v>426</v>
      </c>
      <c r="R85" s="663" t="s">
        <v>426</v>
      </c>
      <c r="S85" s="663" t="s">
        <v>426</v>
      </c>
      <c r="T85" s="624"/>
      <c r="U85" s="663" t="s">
        <v>426</v>
      </c>
      <c r="V85" s="663" t="s">
        <v>426</v>
      </c>
      <c r="W85" s="663" t="s">
        <v>426</v>
      </c>
      <c r="X85" s="663" t="s">
        <v>426</v>
      </c>
      <c r="Y85" s="663" t="s">
        <v>426</v>
      </c>
      <c r="Z85" s="663" t="s">
        <v>426</v>
      </c>
      <c r="AA85" s="663" t="s">
        <v>426</v>
      </c>
      <c r="AB85" s="663" t="s">
        <v>426</v>
      </c>
      <c r="AC85" s="663" t="s">
        <v>426</v>
      </c>
      <c r="AD85" s="664" t="s">
        <v>426</v>
      </c>
    </row>
    <row r="86" spans="2:30" ht="26" customHeight="1" x14ac:dyDescent="0.2">
      <c r="B86" s="662" t="s">
        <v>658</v>
      </c>
      <c r="C86" s="654"/>
      <c r="D86" s="624"/>
      <c r="E86" s="654" t="s">
        <v>715</v>
      </c>
      <c r="F86" s="654" t="s">
        <v>715</v>
      </c>
      <c r="G86" s="654" t="s">
        <v>715</v>
      </c>
      <c r="H86" s="654" t="s">
        <v>715</v>
      </c>
      <c r="I86" s="654" t="s">
        <v>715</v>
      </c>
      <c r="J86" s="654" t="s">
        <v>715</v>
      </c>
      <c r="K86" s="654" t="s">
        <v>715</v>
      </c>
      <c r="L86" s="654" t="s">
        <v>715</v>
      </c>
      <c r="M86" s="654" t="s">
        <v>715</v>
      </c>
      <c r="N86" s="654" t="s">
        <v>715</v>
      </c>
      <c r="O86" s="654" t="s">
        <v>715</v>
      </c>
      <c r="P86" s="654" t="s">
        <v>715</v>
      </c>
      <c r="Q86" s="654" t="s">
        <v>715</v>
      </c>
      <c r="R86" s="654" t="s">
        <v>715</v>
      </c>
      <c r="S86" s="654" t="s">
        <v>715</v>
      </c>
      <c r="T86" s="624"/>
      <c r="U86" s="654" t="s">
        <v>715</v>
      </c>
      <c r="V86" s="654" t="s">
        <v>715</v>
      </c>
      <c r="W86" s="654" t="s">
        <v>715</v>
      </c>
      <c r="X86" s="654" t="s">
        <v>715</v>
      </c>
      <c r="Y86" s="654" t="s">
        <v>715</v>
      </c>
      <c r="Z86" s="654" t="s">
        <v>715</v>
      </c>
      <c r="AA86" s="654" t="s">
        <v>715</v>
      </c>
      <c r="AB86" s="654" t="s">
        <v>715</v>
      </c>
      <c r="AC86" s="654" t="s">
        <v>715</v>
      </c>
      <c r="AD86" s="655" t="s">
        <v>715</v>
      </c>
    </row>
    <row r="87" spans="2:30" ht="26" customHeight="1" x14ac:dyDescent="0.2">
      <c r="B87" s="662" t="s">
        <v>646</v>
      </c>
      <c r="C87" s="654"/>
      <c r="D87" s="624"/>
      <c r="E87" s="663" t="s">
        <v>427</v>
      </c>
      <c r="F87" s="663" t="s">
        <v>427</v>
      </c>
      <c r="G87" s="663" t="s">
        <v>427</v>
      </c>
      <c r="H87" s="663" t="s">
        <v>427</v>
      </c>
      <c r="I87" s="663" t="s">
        <v>427</v>
      </c>
      <c r="J87" s="663" t="s">
        <v>427</v>
      </c>
      <c r="K87" s="663" t="s">
        <v>427</v>
      </c>
      <c r="L87" s="663" t="s">
        <v>427</v>
      </c>
      <c r="M87" s="663" t="s">
        <v>427</v>
      </c>
      <c r="N87" s="663" t="s">
        <v>427</v>
      </c>
      <c r="O87" s="663" t="s">
        <v>427</v>
      </c>
      <c r="P87" s="663" t="s">
        <v>427</v>
      </c>
      <c r="Q87" s="663" t="s">
        <v>427</v>
      </c>
      <c r="R87" s="663" t="s">
        <v>427</v>
      </c>
      <c r="S87" s="663" t="s">
        <v>427</v>
      </c>
      <c r="T87" s="624"/>
      <c r="U87" s="663" t="s">
        <v>427</v>
      </c>
      <c r="V87" s="663" t="s">
        <v>427</v>
      </c>
      <c r="W87" s="663" t="s">
        <v>427</v>
      </c>
      <c r="X87" s="663" t="s">
        <v>427</v>
      </c>
      <c r="Y87" s="663" t="s">
        <v>427</v>
      </c>
      <c r="Z87" s="663" t="s">
        <v>427</v>
      </c>
      <c r="AA87" s="663" t="s">
        <v>427</v>
      </c>
      <c r="AB87" s="663" t="s">
        <v>427</v>
      </c>
      <c r="AC87" s="663" t="s">
        <v>427</v>
      </c>
      <c r="AD87" s="664" t="s">
        <v>427</v>
      </c>
    </row>
    <row r="88" spans="2:30" ht="26" customHeight="1" x14ac:dyDescent="0.2">
      <c r="B88" s="662" t="s">
        <v>659</v>
      </c>
      <c r="C88" s="654"/>
      <c r="D88" s="624"/>
      <c r="E88" s="654" t="s">
        <v>715</v>
      </c>
      <c r="F88" s="654" t="s">
        <v>715</v>
      </c>
      <c r="G88" s="654" t="s">
        <v>715</v>
      </c>
      <c r="H88" s="654" t="s">
        <v>715</v>
      </c>
      <c r="I88" s="654" t="s">
        <v>715</v>
      </c>
      <c r="J88" s="654" t="s">
        <v>715</v>
      </c>
      <c r="K88" s="654" t="s">
        <v>715</v>
      </c>
      <c r="L88" s="654" t="s">
        <v>715</v>
      </c>
      <c r="M88" s="654" t="s">
        <v>715</v>
      </c>
      <c r="N88" s="654" t="s">
        <v>715</v>
      </c>
      <c r="O88" s="654" t="s">
        <v>715</v>
      </c>
      <c r="P88" s="654" t="s">
        <v>715</v>
      </c>
      <c r="Q88" s="654" t="s">
        <v>715</v>
      </c>
      <c r="R88" s="654" t="s">
        <v>715</v>
      </c>
      <c r="S88" s="654" t="s">
        <v>715</v>
      </c>
      <c r="T88" s="624"/>
      <c r="U88" s="654" t="s">
        <v>715</v>
      </c>
      <c r="V88" s="654" t="s">
        <v>715</v>
      </c>
      <c r="W88" s="654" t="s">
        <v>715</v>
      </c>
      <c r="X88" s="654" t="s">
        <v>715</v>
      </c>
      <c r="Y88" s="654" t="s">
        <v>715</v>
      </c>
      <c r="Z88" s="654" t="s">
        <v>715</v>
      </c>
      <c r="AA88" s="654" t="s">
        <v>715</v>
      </c>
      <c r="AB88" s="654" t="s">
        <v>715</v>
      </c>
      <c r="AC88" s="654" t="s">
        <v>715</v>
      </c>
      <c r="AD88" s="655" t="s">
        <v>715</v>
      </c>
    </row>
    <row r="89" spans="2:30" ht="26" customHeight="1" x14ac:dyDescent="0.2">
      <c r="B89" s="662" t="s">
        <v>647</v>
      </c>
      <c r="C89" s="654"/>
      <c r="D89" s="624"/>
      <c r="E89" s="663" t="s">
        <v>428</v>
      </c>
      <c r="F89" s="663" t="s">
        <v>428</v>
      </c>
      <c r="G89" s="663" t="s">
        <v>428</v>
      </c>
      <c r="H89" s="663" t="s">
        <v>428</v>
      </c>
      <c r="I89" s="663" t="s">
        <v>428</v>
      </c>
      <c r="J89" s="663" t="s">
        <v>428</v>
      </c>
      <c r="K89" s="663" t="s">
        <v>428</v>
      </c>
      <c r="L89" s="663" t="s">
        <v>428</v>
      </c>
      <c r="M89" s="663" t="s">
        <v>428</v>
      </c>
      <c r="N89" s="663" t="s">
        <v>428</v>
      </c>
      <c r="O89" s="663" t="s">
        <v>428</v>
      </c>
      <c r="P89" s="663" t="s">
        <v>428</v>
      </c>
      <c r="Q89" s="663" t="s">
        <v>428</v>
      </c>
      <c r="R89" s="663" t="s">
        <v>428</v>
      </c>
      <c r="S89" s="663" t="s">
        <v>428</v>
      </c>
      <c r="T89" s="624"/>
      <c r="U89" s="663" t="s">
        <v>428</v>
      </c>
      <c r="V89" s="663" t="s">
        <v>428</v>
      </c>
      <c r="W89" s="663" t="s">
        <v>428</v>
      </c>
      <c r="X89" s="663" t="s">
        <v>428</v>
      </c>
      <c r="Y89" s="663" t="s">
        <v>428</v>
      </c>
      <c r="Z89" s="663" t="s">
        <v>428</v>
      </c>
      <c r="AA89" s="663" t="s">
        <v>428</v>
      </c>
      <c r="AB89" s="663" t="s">
        <v>428</v>
      </c>
      <c r="AC89" s="663" t="s">
        <v>428</v>
      </c>
      <c r="AD89" s="664" t="s">
        <v>428</v>
      </c>
    </row>
    <row r="90" spans="2:30" ht="26" customHeight="1" thickBot="1" x14ac:dyDescent="0.25">
      <c r="B90" s="665" t="s">
        <v>660</v>
      </c>
      <c r="C90" s="657"/>
      <c r="D90" s="624"/>
      <c r="E90" s="657" t="s">
        <v>715</v>
      </c>
      <c r="F90" s="657" t="s">
        <v>715</v>
      </c>
      <c r="G90" s="657" t="s">
        <v>715</v>
      </c>
      <c r="H90" s="657" t="s">
        <v>715</v>
      </c>
      <c r="I90" s="657" t="s">
        <v>715</v>
      </c>
      <c r="J90" s="657" t="s">
        <v>715</v>
      </c>
      <c r="K90" s="657" t="s">
        <v>715</v>
      </c>
      <c r="L90" s="657" t="s">
        <v>715</v>
      </c>
      <c r="M90" s="657" t="s">
        <v>715</v>
      </c>
      <c r="N90" s="657" t="s">
        <v>715</v>
      </c>
      <c r="O90" s="657" t="s">
        <v>715</v>
      </c>
      <c r="P90" s="657" t="s">
        <v>715</v>
      </c>
      <c r="Q90" s="657" t="s">
        <v>715</v>
      </c>
      <c r="R90" s="657" t="s">
        <v>715</v>
      </c>
      <c r="S90" s="657" t="s">
        <v>715</v>
      </c>
      <c r="T90" s="624"/>
      <c r="U90" s="657" t="s">
        <v>715</v>
      </c>
      <c r="V90" s="657" t="s">
        <v>715</v>
      </c>
      <c r="W90" s="657" t="s">
        <v>715</v>
      </c>
      <c r="X90" s="657" t="s">
        <v>715</v>
      </c>
      <c r="Y90" s="657" t="s">
        <v>715</v>
      </c>
      <c r="Z90" s="657" t="s">
        <v>715</v>
      </c>
      <c r="AA90" s="657" t="s">
        <v>715</v>
      </c>
      <c r="AB90" s="657" t="s">
        <v>715</v>
      </c>
      <c r="AC90" s="657" t="s">
        <v>715</v>
      </c>
      <c r="AD90" s="658" t="s">
        <v>715</v>
      </c>
    </row>
    <row r="91" spans="2:30" ht="26" customHeight="1" thickTop="1" x14ac:dyDescent="0.2">
      <c r="B91" s="666" t="s">
        <v>661</v>
      </c>
      <c r="C91" s="651"/>
      <c r="D91" s="624"/>
      <c r="E91" s="651" t="s">
        <v>119</v>
      </c>
      <c r="F91" s="651" t="s">
        <v>119</v>
      </c>
      <c r="G91" s="651" t="s">
        <v>610</v>
      </c>
      <c r="H91" s="651" t="s">
        <v>119</v>
      </c>
      <c r="I91" s="651" t="s">
        <v>119</v>
      </c>
      <c r="J91" s="651" t="s">
        <v>119</v>
      </c>
      <c r="K91" s="651" t="s">
        <v>610</v>
      </c>
      <c r="L91" s="651" t="s">
        <v>119</v>
      </c>
      <c r="M91" s="651" t="s">
        <v>119</v>
      </c>
      <c r="N91" s="651" t="s">
        <v>119</v>
      </c>
      <c r="O91" s="651" t="s">
        <v>119</v>
      </c>
      <c r="P91" s="651" t="s">
        <v>119</v>
      </c>
      <c r="Q91" s="651" t="s">
        <v>119</v>
      </c>
      <c r="R91" s="651" t="s">
        <v>119</v>
      </c>
      <c r="S91" s="651" t="s">
        <v>119</v>
      </c>
      <c r="T91" s="624"/>
      <c r="U91" s="651" t="s">
        <v>119</v>
      </c>
      <c r="V91" s="651" t="s">
        <v>119</v>
      </c>
      <c r="W91" s="651" t="s">
        <v>119</v>
      </c>
      <c r="X91" s="651" t="s">
        <v>119</v>
      </c>
      <c r="Y91" s="651" t="s">
        <v>119</v>
      </c>
      <c r="Z91" s="651" t="s">
        <v>119</v>
      </c>
      <c r="AA91" s="651" t="s">
        <v>119</v>
      </c>
      <c r="AB91" s="651" t="s">
        <v>119</v>
      </c>
      <c r="AC91" s="651" t="s">
        <v>119</v>
      </c>
      <c r="AD91" s="652" t="s">
        <v>119</v>
      </c>
    </row>
    <row r="92" spans="2:30" ht="26" customHeight="1" x14ac:dyDescent="0.2">
      <c r="B92" s="667" t="s">
        <v>662</v>
      </c>
      <c r="C92" s="654"/>
      <c r="D92" s="624"/>
      <c r="E92" s="654" t="s">
        <v>119</v>
      </c>
      <c r="F92" s="654" t="s">
        <v>119</v>
      </c>
      <c r="G92" s="654" t="s">
        <v>119</v>
      </c>
      <c r="H92" s="654" t="s">
        <v>119</v>
      </c>
      <c r="I92" s="654" t="s">
        <v>119</v>
      </c>
      <c r="J92" s="654" t="s">
        <v>119</v>
      </c>
      <c r="K92" s="654" t="s">
        <v>119</v>
      </c>
      <c r="L92" s="654" t="s">
        <v>119</v>
      </c>
      <c r="M92" s="654" t="s">
        <v>119</v>
      </c>
      <c r="N92" s="654" t="s">
        <v>119</v>
      </c>
      <c r="O92" s="654" t="s">
        <v>119</v>
      </c>
      <c r="P92" s="654" t="s">
        <v>119</v>
      </c>
      <c r="Q92" s="654" t="s">
        <v>119</v>
      </c>
      <c r="R92" s="654" t="s">
        <v>119</v>
      </c>
      <c r="S92" s="654" t="s">
        <v>119</v>
      </c>
      <c r="T92" s="624"/>
      <c r="U92" s="654" t="s">
        <v>119</v>
      </c>
      <c r="V92" s="654" t="s">
        <v>119</v>
      </c>
      <c r="W92" s="654" t="s">
        <v>119</v>
      </c>
      <c r="X92" s="654" t="s">
        <v>119</v>
      </c>
      <c r="Y92" s="654" t="s">
        <v>119</v>
      </c>
      <c r="Z92" s="654" t="s">
        <v>119</v>
      </c>
      <c r="AA92" s="654" t="s">
        <v>119</v>
      </c>
      <c r="AB92" s="654" t="s">
        <v>119</v>
      </c>
      <c r="AC92" s="654" t="s">
        <v>119</v>
      </c>
      <c r="AD92" s="655" t="s">
        <v>119</v>
      </c>
    </row>
    <row r="93" spans="2:30" ht="26" customHeight="1" x14ac:dyDescent="0.2">
      <c r="B93" s="667" t="s">
        <v>663</v>
      </c>
      <c r="C93" s="654"/>
      <c r="D93" s="624"/>
      <c r="E93" s="654" t="s">
        <v>119</v>
      </c>
      <c r="F93" s="654" t="s">
        <v>119</v>
      </c>
      <c r="G93" s="654" t="s">
        <v>610</v>
      </c>
      <c r="H93" s="654" t="s">
        <v>119</v>
      </c>
      <c r="I93" s="654" t="s">
        <v>119</v>
      </c>
      <c r="J93" s="654" t="s">
        <v>119</v>
      </c>
      <c r="K93" s="654" t="s">
        <v>610</v>
      </c>
      <c r="L93" s="654" t="s">
        <v>119</v>
      </c>
      <c r="M93" s="654" t="s">
        <v>119</v>
      </c>
      <c r="N93" s="654" t="s">
        <v>119</v>
      </c>
      <c r="O93" s="654" t="s">
        <v>119</v>
      </c>
      <c r="P93" s="654" t="s">
        <v>119</v>
      </c>
      <c r="Q93" s="654" t="s">
        <v>119</v>
      </c>
      <c r="R93" s="654" t="s">
        <v>119</v>
      </c>
      <c r="S93" s="654" t="s">
        <v>119</v>
      </c>
      <c r="T93" s="624"/>
      <c r="U93" s="654" t="s">
        <v>610</v>
      </c>
      <c r="V93" s="654" t="s">
        <v>119</v>
      </c>
      <c r="W93" s="654" t="s">
        <v>119</v>
      </c>
      <c r="X93" s="654" t="s">
        <v>119</v>
      </c>
      <c r="Y93" s="654" t="s">
        <v>119</v>
      </c>
      <c r="Z93" s="654" t="s">
        <v>119</v>
      </c>
      <c r="AA93" s="654" t="s">
        <v>119</v>
      </c>
      <c r="AB93" s="654" t="s">
        <v>119</v>
      </c>
      <c r="AC93" s="654" t="s">
        <v>119</v>
      </c>
      <c r="AD93" s="655" t="s">
        <v>119</v>
      </c>
    </row>
    <row r="94" spans="2:30" ht="26" customHeight="1" x14ac:dyDescent="0.2">
      <c r="B94" s="668" t="s">
        <v>801</v>
      </c>
      <c r="C94" s="669"/>
      <c r="D94" s="624"/>
      <c r="E94" s="669" t="s">
        <v>610</v>
      </c>
      <c r="F94" s="669" t="s">
        <v>610</v>
      </c>
      <c r="G94" s="669" t="s">
        <v>610</v>
      </c>
      <c r="H94" s="669" t="s">
        <v>610</v>
      </c>
      <c r="I94" s="669" t="s">
        <v>610</v>
      </c>
      <c r="J94" s="669" t="s">
        <v>610</v>
      </c>
      <c r="K94" s="669" t="s">
        <v>610</v>
      </c>
      <c r="L94" s="669" t="s">
        <v>610</v>
      </c>
      <c r="M94" s="669" t="s">
        <v>610</v>
      </c>
      <c r="N94" s="669" t="s">
        <v>610</v>
      </c>
      <c r="O94" s="669" t="s">
        <v>610</v>
      </c>
      <c r="P94" s="669" t="s">
        <v>610</v>
      </c>
      <c r="Q94" s="669" t="s">
        <v>610</v>
      </c>
      <c r="R94" s="669" t="s">
        <v>610</v>
      </c>
      <c r="S94" s="669" t="s">
        <v>610</v>
      </c>
      <c r="T94" s="624"/>
      <c r="U94" s="669" t="s">
        <v>610</v>
      </c>
      <c r="V94" s="669" t="s">
        <v>610</v>
      </c>
      <c r="W94" s="669" t="s">
        <v>610</v>
      </c>
      <c r="X94" s="669" t="s">
        <v>610</v>
      </c>
      <c r="Y94" s="669" t="s">
        <v>610</v>
      </c>
      <c r="Z94" s="669" t="s">
        <v>610</v>
      </c>
      <c r="AA94" s="669" t="s">
        <v>610</v>
      </c>
      <c r="AB94" s="669" t="s">
        <v>610</v>
      </c>
      <c r="AC94" s="669" t="s">
        <v>610</v>
      </c>
      <c r="AD94" s="670" t="s">
        <v>610</v>
      </c>
    </row>
    <row r="95" spans="2:30" ht="26" customHeight="1" thickBot="1" x14ac:dyDescent="0.25">
      <c r="B95" s="668" t="s">
        <v>799</v>
      </c>
      <c r="C95" s="669"/>
      <c r="D95" s="624"/>
      <c r="E95" s="669" t="s">
        <v>119</v>
      </c>
      <c r="F95" s="669" t="s">
        <v>119</v>
      </c>
      <c r="G95" s="669" t="s">
        <v>119</v>
      </c>
      <c r="H95" s="669" t="s">
        <v>119</v>
      </c>
      <c r="I95" s="669" t="s">
        <v>610</v>
      </c>
      <c r="J95" s="669" t="s">
        <v>119</v>
      </c>
      <c r="K95" s="669" t="s">
        <v>119</v>
      </c>
      <c r="L95" s="669" t="s">
        <v>610</v>
      </c>
      <c r="M95" s="669" t="s">
        <v>119</v>
      </c>
      <c r="N95" s="669" t="s">
        <v>119</v>
      </c>
      <c r="O95" s="669" t="s">
        <v>119</v>
      </c>
      <c r="P95" s="669" t="s">
        <v>119</v>
      </c>
      <c r="Q95" s="669" t="s">
        <v>119</v>
      </c>
      <c r="R95" s="669" t="s">
        <v>119</v>
      </c>
      <c r="S95" s="669" t="s">
        <v>119</v>
      </c>
      <c r="T95" s="624"/>
      <c r="U95" s="669" t="s">
        <v>119</v>
      </c>
      <c r="V95" s="669" t="s">
        <v>119</v>
      </c>
      <c r="W95" s="669" t="s">
        <v>119</v>
      </c>
      <c r="X95" s="669" t="s">
        <v>119</v>
      </c>
      <c r="Y95" s="669" t="s">
        <v>119</v>
      </c>
      <c r="Z95" s="669" t="s">
        <v>119</v>
      </c>
      <c r="AA95" s="669" t="s">
        <v>119</v>
      </c>
      <c r="AB95" s="669" t="s">
        <v>119</v>
      </c>
      <c r="AC95" s="669" t="s">
        <v>119</v>
      </c>
      <c r="AD95" s="670" t="s">
        <v>119</v>
      </c>
    </row>
    <row r="96" spans="2:30" ht="26" customHeight="1" thickTop="1" x14ac:dyDescent="0.2">
      <c r="B96" s="671"/>
      <c r="C96" s="671"/>
      <c r="E96" s="671"/>
      <c r="F96" s="671"/>
      <c r="G96" s="671"/>
      <c r="H96" s="671"/>
      <c r="I96" s="671"/>
      <c r="J96" s="671"/>
      <c r="K96" s="671"/>
      <c r="L96" s="671"/>
      <c r="M96" s="671"/>
      <c r="N96" s="671"/>
      <c r="O96" s="671"/>
      <c r="P96" s="671"/>
      <c r="Q96" s="671"/>
      <c r="R96" s="671"/>
      <c r="S96" s="671"/>
      <c r="U96" s="671"/>
      <c r="V96" s="671"/>
      <c r="W96" s="671"/>
      <c r="X96" s="671"/>
      <c r="Y96" s="671"/>
      <c r="Z96" s="671"/>
      <c r="AA96" s="671"/>
      <c r="AB96" s="671"/>
      <c r="AC96" s="671"/>
      <c r="AD96" s="671"/>
    </row>
    <row r="97" ht="26" customHeight="1" x14ac:dyDescent="0.2"/>
    <row r="98" ht="26" customHeight="1" x14ac:dyDescent="0.2"/>
    <row r="99" ht="26" customHeight="1" x14ac:dyDescent="0.2"/>
    <row r="100" ht="26" customHeight="1" x14ac:dyDescent="0.2"/>
    <row r="101" ht="26" customHeight="1" x14ac:dyDescent="0.2"/>
    <row r="102" ht="26" customHeight="1" x14ac:dyDescent="0.2"/>
    <row r="103" ht="26" customHeight="1" x14ac:dyDescent="0.2"/>
    <row r="104" ht="26" customHeight="1" x14ac:dyDescent="0.2"/>
    <row r="105" ht="26" customHeight="1" x14ac:dyDescent="0.2"/>
    <row r="106" ht="26" customHeight="1" x14ac:dyDescent="0.2"/>
    <row r="107" ht="26" customHeight="1" x14ac:dyDescent="0.2"/>
    <row r="108" ht="26" customHeight="1" x14ac:dyDescent="0.2"/>
    <row r="109" ht="26" customHeight="1" x14ac:dyDescent="0.2"/>
    <row r="110" ht="26" customHeight="1" x14ac:dyDescent="0.2"/>
    <row r="111" ht="26" customHeight="1" x14ac:dyDescent="0.2"/>
    <row r="112" ht="26" customHeight="1" x14ac:dyDescent="0.2"/>
    <row r="113" ht="26" customHeight="1" x14ac:dyDescent="0.2"/>
  </sheetData>
  <sheetProtection algorithmName="SHA-512" hashValue="u7Fsx6wyMd+mX8qunTEpd1sipAHvI7/ytcvEuZNyPeg0pzCxwUOJF6t3JBDANjshQzOzT44uuVTGw21bkfYsTw==" saltValue="BhBV67crkAxebeNR3PWYfQ==" spinCount="100000" sheet="1" objects="1" scenarios="1" selectLockedCells="1" selectUnlockedCells="1"/>
  <mergeCells count="2">
    <mergeCell ref="E5:S5"/>
    <mergeCell ref="U5:AD5"/>
  </mergeCells>
  <conditionalFormatting sqref="E91:S95 U91:AD95">
    <cfRule type="cellIs" dxfId="5" priority="1" operator="equal">
      <formula>"Off"</formula>
    </cfRule>
    <cfRule type="cellIs" dxfId="4" priority="2" operator="equal">
      <formula>"On"</formula>
    </cfRule>
  </conditionalFormatting>
  <conditionalFormatting sqref="E8:AD8">
    <cfRule type="cellIs" dxfId="3" priority="3" operator="equal">
      <formula>"Yes"</formula>
    </cfRule>
  </conditionalFormatting>
  <conditionalFormatting sqref="E11:AD56">
    <cfRule type="expression" dxfId="2" priority="5">
      <formula>E11=VLOOKUP(E11,Headings,1,FALSE)</formula>
    </cfRule>
  </conditionalFormatting>
  <dataValidations count="2">
    <dataValidation type="list" allowBlank="1" showInputMessage="1" showErrorMessage="1" sqref="U11:AD56 F11:T56 E11:E56" xr:uid="{BB932358-8B6A-ED4D-A0AB-81C0768C61F5}">
      <formula1>DropList</formula1>
    </dataValidation>
    <dataValidation type="list" allowBlank="1" showInputMessage="1" showErrorMessage="1" sqref="U91:AD95 E91:S95" xr:uid="{D2D28EE5-4080-6946-9AAE-068ECA3AB132}">
      <formula1>"On,Off"</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K20"/>
  <sheetViews>
    <sheetView showGridLines="0" showRowColHeaders="0" zoomScaleNormal="100" workbookViewId="0">
      <selection activeCell="E10" sqref="E10"/>
    </sheetView>
  </sheetViews>
  <sheetFormatPr baseColWidth="10" defaultColWidth="9.1640625" defaultRowHeight="15" x14ac:dyDescent="0.2"/>
  <cols>
    <col min="1" max="1" width="3.6640625" style="1" customWidth="1"/>
    <col min="2" max="3" width="9.1640625" style="1"/>
    <col min="4" max="4" width="14.6640625" style="1" customWidth="1"/>
    <col min="5" max="5" width="8.83203125" style="1" customWidth="1"/>
    <col min="6" max="6" width="1" style="1" hidden="1" customWidth="1"/>
    <col min="7" max="7" width="9" style="1" customWidth="1"/>
    <col min="8" max="8" width="1" style="1" hidden="1" customWidth="1"/>
    <col min="9" max="9" width="9.1640625" style="1"/>
    <col min="10" max="10" width="9.1640625" style="1" customWidth="1"/>
    <col min="11" max="11" width="2.6640625" style="1" customWidth="1"/>
    <col min="12" max="16384" width="9.1640625" style="1"/>
  </cols>
  <sheetData>
    <row r="2" spans="2:11" ht="40" customHeight="1" thickBot="1" x14ac:dyDescent="0.25">
      <c r="B2" s="695"/>
      <c r="C2" s="696"/>
      <c r="D2" s="697"/>
      <c r="E2" s="698"/>
      <c r="F2" s="698"/>
      <c r="G2" s="699"/>
      <c r="H2" s="682"/>
      <c r="I2" s="700"/>
      <c r="J2" s="701"/>
      <c r="K2" s="3"/>
    </row>
    <row r="3" spans="2:11" ht="15" customHeight="1" x14ac:dyDescent="0.2">
      <c r="B3" s="501"/>
      <c r="C3" s="497"/>
      <c r="D3" s="497"/>
      <c r="E3" s="497"/>
      <c r="F3" s="497"/>
      <c r="G3" s="497"/>
      <c r="H3" s="497"/>
      <c r="I3" s="497"/>
      <c r="J3" s="502"/>
      <c r="K3" s="3"/>
    </row>
    <row r="4" spans="2:11" ht="18" x14ac:dyDescent="0.2">
      <c r="B4" s="705" t="str">
        <f ca="1">IFERROR(Backend!$B$19,"")</f>
        <v/>
      </c>
      <c r="C4" s="706"/>
      <c r="D4" s="706"/>
      <c r="E4" s="706"/>
      <c r="F4" s="706"/>
      <c r="G4" s="706"/>
      <c r="H4" s="706"/>
      <c r="I4" s="706"/>
      <c r="J4" s="707"/>
      <c r="K4" s="3"/>
    </row>
    <row r="5" spans="2:11" ht="180" customHeight="1" x14ac:dyDescent="0.2">
      <c r="B5" s="501"/>
      <c r="C5" s="497"/>
      <c r="D5" s="497"/>
      <c r="E5" s="497"/>
      <c r="F5" s="497"/>
      <c r="G5" s="497"/>
      <c r="H5" s="497"/>
      <c r="I5" s="497"/>
      <c r="J5" s="502"/>
      <c r="K5" s="3"/>
    </row>
    <row r="6" spans="2:11" ht="15" customHeight="1" x14ac:dyDescent="0.2">
      <c r="B6" s="702" t="s">
        <v>109</v>
      </c>
      <c r="C6" s="703"/>
      <c r="D6" s="703"/>
      <c r="E6" s="703"/>
      <c r="F6" s="703"/>
      <c r="G6" s="703"/>
      <c r="H6" s="703"/>
      <c r="I6" s="703"/>
      <c r="J6" s="704"/>
      <c r="K6" s="3"/>
    </row>
    <row r="7" spans="2:11" ht="15" customHeight="1" x14ac:dyDescent="0.2">
      <c r="B7" s="702"/>
      <c r="C7" s="703"/>
      <c r="D7" s="703"/>
      <c r="E7" s="703"/>
      <c r="F7" s="703"/>
      <c r="G7" s="703"/>
      <c r="H7" s="703"/>
      <c r="I7" s="703"/>
      <c r="J7" s="704"/>
      <c r="K7" s="3"/>
    </row>
    <row r="8" spans="2:11" ht="18" x14ac:dyDescent="0.2">
      <c r="B8" s="506"/>
      <c r="C8" s="708" t="str">
        <f>IFERROR(IF(Admin!$G$3=0,"",Admin!$G$3),"")</f>
        <v>Jurassic Hospital Emergency Department</v>
      </c>
      <c r="D8" s="708"/>
      <c r="E8" s="708"/>
      <c r="F8" s="708"/>
      <c r="G8" s="708"/>
      <c r="H8" s="708"/>
      <c r="I8" s="708"/>
      <c r="J8" s="507"/>
      <c r="K8" s="3"/>
    </row>
    <row r="9" spans="2:11" ht="15" customHeight="1" x14ac:dyDescent="0.2">
      <c r="B9" s="501"/>
      <c r="C9" s="497"/>
      <c r="D9" s="497"/>
      <c r="E9" s="497"/>
      <c r="F9" s="497"/>
      <c r="G9" s="497"/>
      <c r="H9" s="497"/>
      <c r="I9" s="497"/>
      <c r="J9" s="502"/>
      <c r="K9" s="3"/>
    </row>
    <row r="10" spans="2:11" ht="30" customHeight="1" x14ac:dyDescent="0.2">
      <c r="B10" s="501"/>
      <c r="C10" s="709" t="s">
        <v>62</v>
      </c>
      <c r="D10" s="710"/>
      <c r="E10" s="508"/>
      <c r="F10" s="509"/>
      <c r="G10" s="510"/>
      <c r="H10" s="510"/>
      <c r="I10" s="510"/>
      <c r="J10" s="511"/>
      <c r="K10" s="3"/>
    </row>
    <row r="11" spans="2:11" x14ac:dyDescent="0.2">
      <c r="B11" s="501"/>
      <c r="C11" s="483"/>
      <c r="D11" s="483"/>
      <c r="E11" s="497"/>
      <c r="F11" s="497"/>
      <c r="G11" s="497"/>
      <c r="H11" s="497"/>
      <c r="I11" s="497"/>
      <c r="J11" s="502"/>
      <c r="K11" s="3"/>
    </row>
    <row r="12" spans="2:11" ht="30" customHeight="1" x14ac:dyDescent="0.2">
      <c r="B12" s="501"/>
      <c r="C12" s="709" t="s">
        <v>63</v>
      </c>
      <c r="D12" s="710"/>
      <c r="E12" s="512"/>
      <c r="F12" s="513"/>
      <c r="G12" s="512"/>
      <c r="H12" s="514"/>
      <c r="I12" s="512"/>
      <c r="J12" s="502"/>
      <c r="K12" s="3"/>
    </row>
    <row r="13" spans="2:11" x14ac:dyDescent="0.2">
      <c r="B13" s="501"/>
      <c r="C13" s="483"/>
      <c r="D13" s="483"/>
      <c r="E13" s="515" t="s">
        <v>35</v>
      </c>
      <c r="F13" s="483"/>
      <c r="G13" s="515" t="s">
        <v>36</v>
      </c>
      <c r="H13" s="483"/>
      <c r="I13" s="515" t="s">
        <v>51</v>
      </c>
      <c r="J13" s="502"/>
      <c r="K13" s="3"/>
    </row>
    <row r="14" spans="2:11" x14ac:dyDescent="0.2">
      <c r="B14" s="501"/>
      <c r="C14" s="673"/>
      <c r="D14" s="673"/>
      <c r="E14" s="497"/>
      <c r="F14" s="497"/>
      <c r="G14" s="497"/>
      <c r="H14" s="497"/>
      <c r="I14" s="497"/>
      <c r="J14" s="502"/>
      <c r="K14" s="3"/>
    </row>
    <row r="15" spans="2:11" ht="30" customHeight="1" x14ac:dyDescent="0.2">
      <c r="B15" s="501"/>
      <c r="C15" s="709" t="str">
        <f>IFERROR(IF(Admin!$X$63="On","Select configuration","Configuration (locked)"),"")</f>
        <v>Select configuration</v>
      </c>
      <c r="D15" s="717"/>
      <c r="E15" s="714" t="s">
        <v>623</v>
      </c>
      <c r="F15" s="715"/>
      <c r="G15" s="715"/>
      <c r="H15" s="715"/>
      <c r="I15" s="716"/>
      <c r="J15" s="502"/>
      <c r="K15" s="3"/>
    </row>
    <row r="16" spans="2:11" ht="15" customHeight="1" x14ac:dyDescent="0.2">
      <c r="B16" s="501"/>
      <c r="C16" s="673"/>
      <c r="D16" s="673"/>
      <c r="E16" s="516"/>
      <c r="F16" s="516"/>
      <c r="G16" s="516"/>
      <c r="H16" s="516"/>
      <c r="I16" s="516"/>
      <c r="J16" s="502"/>
      <c r="K16" s="3"/>
    </row>
    <row r="17" spans="2:11" ht="30" customHeight="1" x14ac:dyDescent="0.2">
      <c r="B17" s="501"/>
      <c r="C17" s="718" t="str">
        <f>IF('Weight Estimations'!$C$24="Yes","The weight entered is outside the expected"&amp;CHAR(10)&amp;"range for this age. "&amp;CHAR(10)&amp;"Please double check.","")</f>
        <v/>
      </c>
      <c r="D17" s="718"/>
      <c r="E17" s="516"/>
      <c r="F17" s="516"/>
      <c r="G17" s="516"/>
      <c r="H17" s="516"/>
      <c r="I17" s="516"/>
      <c r="J17" s="502"/>
      <c r="K17" s="3"/>
    </row>
    <row r="18" spans="2:11" ht="45" customHeight="1" x14ac:dyDescent="0.2">
      <c r="B18" s="501"/>
      <c r="C18" s="719"/>
      <c r="D18" s="719"/>
      <c r="E18" s="516"/>
      <c r="F18" s="516"/>
      <c r="G18" s="516"/>
      <c r="H18" s="516"/>
      <c r="I18" s="516"/>
      <c r="J18" s="502"/>
      <c r="K18" s="3"/>
    </row>
    <row r="19" spans="2:11" ht="60" customHeight="1" x14ac:dyDescent="0.2">
      <c r="B19" s="711" t="s">
        <v>800</v>
      </c>
      <c r="C19" s="712"/>
      <c r="D19" s="712"/>
      <c r="E19" s="712"/>
      <c r="F19" s="712"/>
      <c r="G19" s="712"/>
      <c r="H19" s="712"/>
      <c r="I19" s="712"/>
      <c r="J19" s="713"/>
      <c r="K19" s="3"/>
    </row>
    <row r="20" spans="2:11" ht="14" customHeight="1" x14ac:dyDescent="0.2">
      <c r="B20" s="2"/>
      <c r="C20" s="2"/>
      <c r="D20" s="2"/>
      <c r="E20" s="2"/>
      <c r="F20" s="2"/>
      <c r="G20" s="2"/>
      <c r="H20" s="2"/>
      <c r="I20" s="2"/>
      <c r="J20" s="2"/>
      <c r="K20" s="8"/>
    </row>
  </sheetData>
  <sheetProtection algorithmName="SHA-512" hashValue="v55LkUQJojANGVG4yKPTVZJhNyRp3+5d0f1xM6QSMH0yy6wYwQ7176+ezAKZiZqysO01NreDkxCYJjFSXCk+eg==" saltValue="62mwbltrEIMvlpn8oqtCgg==" spinCount="100000" sheet="1" objects="1" scenarios="1" selectLockedCells="1"/>
  <mergeCells count="12">
    <mergeCell ref="C8:I8"/>
    <mergeCell ref="C10:D10"/>
    <mergeCell ref="C12:D12"/>
    <mergeCell ref="B19:J19"/>
    <mergeCell ref="E15:I15"/>
    <mergeCell ref="C15:D15"/>
    <mergeCell ref="C17:D18"/>
    <mergeCell ref="B2:C2"/>
    <mergeCell ref="D2:G2"/>
    <mergeCell ref="I2:J2"/>
    <mergeCell ref="B6:J7"/>
    <mergeCell ref="B4:J4"/>
  </mergeCells>
  <dataValidations count="4">
    <dataValidation type="whole" allowBlank="1" showErrorMessage="1" errorTitle="Age out of range" error="Please enter a number between 0 to 15 years" sqref="E12" xr:uid="{AA886C4F-5BA4-4D00-9C25-D600B813BEE6}">
      <formula1>0</formula1>
      <formula2>15</formula2>
    </dataValidation>
    <dataValidation type="whole" allowBlank="1" showErrorMessage="1" errorTitle="Age out of range" error="Please enter a number between 0 to 23 months" prompt="Enter number between 1 to 24 months" sqref="G12" xr:uid="{FB987040-698C-4B95-9E59-95093D956251}">
      <formula1>0</formula1>
      <formula2>23</formula2>
    </dataValidation>
    <dataValidation type="whole" allowBlank="1" showErrorMessage="1" errorTitle="Age out of range" error="Please enter a number between 0 to 51 weeks" prompt="Enter number between 0 to 51 weeks" sqref="I12" xr:uid="{6F3B8362-F64F-4EB5-89E7-2B1D5028431F}">
      <formula1>0</formula1>
      <formula2>51</formula2>
    </dataValidation>
    <dataValidation type="decimal" allowBlank="1" showErrorMessage="1" errorTitle="Weight out of range" error="Please enter weight between 2.6 - 100kg" sqref="E10" xr:uid="{89476E62-E207-4B7E-8100-E04CDDBBF1A6}">
      <formula1>2.6</formula1>
      <formula2>100</formula2>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BD4AE86D-B5DE-7D4E-8D47-5D4F7F206E3D}">
            <xm:f>Backend!$D$2=0</xm:f>
            <x14:dxf>
              <font>
                <color theme="0"/>
              </font>
              <fill>
                <patternFill>
                  <bgColor theme="0"/>
                </patternFill>
              </fill>
              <border>
                <left/>
                <right/>
                <top/>
                <bottom/>
                <vertical/>
                <horizontal/>
              </border>
            </x14:dxf>
          </x14:cfRule>
          <xm:sqref>C9:I18</xm:sqref>
        </x14:conditionalFormatting>
        <x14:conditionalFormatting xmlns:xm="http://schemas.microsoft.com/office/excel/2006/main">
          <x14:cfRule type="expression" priority="2" id="{E454827C-9E41-BC47-BB69-3D146CFD52B2}">
            <xm:f>'Weight Estimations'!$C$24="Yes"</xm:f>
            <x14:dxf>
              <font>
                <color rgb="FF9C0006"/>
              </font>
              <fill>
                <patternFill>
                  <bgColor rgb="FFFFC7CE"/>
                </patternFill>
              </fill>
            </x14:dxf>
          </x14:cfRule>
          <xm:sqref>E10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F46D92FA-7CFC-5446-B044-36D01B96605F}">
          <x14:formula1>
            <xm:f>IF(Backend!$D$2=1,IF(Admin!$X$63="On",ConfigList,""),"")</xm:f>
          </x14:formula1>
          <xm:sqref>E15:I15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C2F5E-0C8C-004C-8A22-472414E9F3DF}">
  <sheetPr codeName="Sheet2">
    <pageSetUpPr fitToPage="1"/>
  </sheetPr>
  <dimension ref="B1:AV62"/>
  <sheetViews>
    <sheetView showGridLines="0" showRowColHeaders="0" zoomScaleNormal="100" workbookViewId="0"/>
  </sheetViews>
  <sheetFormatPr baseColWidth="10" defaultColWidth="9.1640625" defaultRowHeight="15" x14ac:dyDescent="0.2"/>
  <cols>
    <col min="1" max="23" width="4.6640625" style="1" customWidth="1"/>
    <col min="24" max="25" width="2.6640625" style="1" customWidth="1"/>
    <col min="26" max="47" width="4.6640625" style="1" customWidth="1"/>
    <col min="48" max="48" width="2.6640625" style="1" customWidth="1"/>
    <col min="49" max="16384" width="9.1640625" style="1"/>
  </cols>
  <sheetData>
    <row r="1" spans="2:48" ht="16" thickBot="1" x14ac:dyDescent="0.25"/>
    <row r="2" spans="2:48" x14ac:dyDescent="0.2">
      <c r="B2" s="477"/>
      <c r="C2" s="478"/>
      <c r="D2" s="478"/>
      <c r="E2" s="478"/>
      <c r="F2" s="478"/>
      <c r="G2" s="478"/>
      <c r="H2" s="478"/>
      <c r="I2" s="478"/>
      <c r="J2" s="478"/>
      <c r="K2" s="478"/>
      <c r="L2" s="478"/>
      <c r="M2" s="478"/>
      <c r="N2" s="478"/>
      <c r="O2" s="478"/>
      <c r="P2" s="478"/>
      <c r="Q2" s="478"/>
      <c r="R2" s="478"/>
      <c r="S2" s="478"/>
      <c r="T2" s="478"/>
      <c r="U2" s="478"/>
      <c r="V2" s="478"/>
      <c r="W2" s="479"/>
      <c r="X2" s="693"/>
      <c r="Z2" s="477"/>
      <c r="AA2" s="478"/>
      <c r="AB2" s="478"/>
      <c r="AC2" s="478"/>
      <c r="AD2" s="478"/>
      <c r="AE2" s="478"/>
      <c r="AF2" s="478"/>
      <c r="AG2" s="478"/>
      <c r="AH2" s="478"/>
      <c r="AI2" s="478"/>
      <c r="AJ2" s="478"/>
      <c r="AK2" s="478"/>
      <c r="AL2" s="478"/>
      <c r="AM2" s="478"/>
      <c r="AN2" s="478"/>
      <c r="AO2" s="478"/>
      <c r="AP2" s="478"/>
      <c r="AQ2" s="478"/>
      <c r="AR2" s="478"/>
      <c r="AS2" s="478"/>
      <c r="AT2" s="478"/>
      <c r="AU2" s="479"/>
      <c r="AV2" s="693"/>
    </row>
    <row r="3" spans="2:48" x14ac:dyDescent="0.2">
      <c r="B3" s="480"/>
      <c r="C3" s="725" t="s">
        <v>756</v>
      </c>
      <c r="D3" s="726"/>
      <c r="E3" s="726"/>
      <c r="F3" s="726"/>
      <c r="G3" s="726"/>
      <c r="H3" s="726"/>
      <c r="I3" s="726"/>
      <c r="J3" s="726"/>
      <c r="K3" s="726"/>
      <c r="L3" s="726"/>
      <c r="M3" s="726"/>
      <c r="N3" s="726"/>
      <c r="O3" s="727"/>
      <c r="P3" s="497"/>
      <c r="Q3" s="498"/>
      <c r="R3" s="499"/>
      <c r="S3" s="499"/>
      <c r="T3" s="499"/>
      <c r="U3" s="499"/>
      <c r="V3" s="500"/>
      <c r="W3" s="482"/>
      <c r="X3" s="693"/>
      <c r="Z3" s="480"/>
      <c r="AA3" s="725" t="str">
        <f>$C$3</f>
        <v>Affix patient sticker here</v>
      </c>
      <c r="AB3" s="726"/>
      <c r="AC3" s="726"/>
      <c r="AD3" s="726"/>
      <c r="AE3" s="726"/>
      <c r="AF3" s="726"/>
      <c r="AG3" s="726"/>
      <c r="AH3" s="726"/>
      <c r="AI3" s="726"/>
      <c r="AJ3" s="726"/>
      <c r="AK3" s="726"/>
      <c r="AL3" s="726"/>
      <c r="AM3" s="727"/>
      <c r="AN3" s="497"/>
      <c r="AO3" s="498"/>
      <c r="AP3" s="499"/>
      <c r="AQ3" s="499"/>
      <c r="AR3" s="499"/>
      <c r="AS3" s="499"/>
      <c r="AT3" s="500"/>
      <c r="AU3" s="482"/>
      <c r="AV3" s="693"/>
    </row>
    <row r="4" spans="2:48" ht="15" customHeight="1" x14ac:dyDescent="0.2">
      <c r="B4" s="480"/>
      <c r="C4" s="728"/>
      <c r="D4" s="729"/>
      <c r="E4" s="729"/>
      <c r="F4" s="729"/>
      <c r="G4" s="729"/>
      <c r="H4" s="729"/>
      <c r="I4" s="729"/>
      <c r="J4" s="729"/>
      <c r="K4" s="729"/>
      <c r="L4" s="729"/>
      <c r="M4" s="729"/>
      <c r="N4" s="729"/>
      <c r="O4" s="730"/>
      <c r="P4" s="497"/>
      <c r="Q4" s="501"/>
      <c r="R4" s="734" t="str">
        <f>IFERROR(IF('Weight Estimations'!$C$2=0,'Weight Estimations'!$C$6,'Weight Estimations'!$C$2)&amp;" kg","")</f>
        <v>3.5 kg</v>
      </c>
      <c r="S4" s="734"/>
      <c r="T4" s="734"/>
      <c r="U4" s="734"/>
      <c r="V4" s="502"/>
      <c r="W4" s="482"/>
      <c r="X4" s="693"/>
      <c r="Z4" s="480"/>
      <c r="AA4" s="728"/>
      <c r="AB4" s="729"/>
      <c r="AC4" s="729"/>
      <c r="AD4" s="729"/>
      <c r="AE4" s="729"/>
      <c r="AF4" s="729"/>
      <c r="AG4" s="729"/>
      <c r="AH4" s="729"/>
      <c r="AI4" s="729"/>
      <c r="AJ4" s="729"/>
      <c r="AK4" s="729"/>
      <c r="AL4" s="729"/>
      <c r="AM4" s="730"/>
      <c r="AN4" s="497"/>
      <c r="AO4" s="501"/>
      <c r="AP4" s="734" t="str">
        <f>$R$4</f>
        <v>3.5 kg</v>
      </c>
      <c r="AQ4" s="734"/>
      <c r="AR4" s="734"/>
      <c r="AS4" s="734"/>
      <c r="AT4" s="502"/>
      <c r="AU4" s="482"/>
      <c r="AV4" s="693"/>
    </row>
    <row r="5" spans="2:48" ht="15" customHeight="1" x14ac:dyDescent="0.2">
      <c r="B5" s="480"/>
      <c r="C5" s="728"/>
      <c r="D5" s="729"/>
      <c r="E5" s="729"/>
      <c r="F5" s="729"/>
      <c r="G5" s="729"/>
      <c r="H5" s="729"/>
      <c r="I5" s="729"/>
      <c r="J5" s="729"/>
      <c r="K5" s="729"/>
      <c r="L5" s="729"/>
      <c r="M5" s="729"/>
      <c r="N5" s="729"/>
      <c r="O5" s="730"/>
      <c r="P5" s="497"/>
      <c r="Q5" s="501"/>
      <c r="R5" s="734"/>
      <c r="S5" s="734"/>
      <c r="T5" s="734"/>
      <c r="U5" s="734"/>
      <c r="V5" s="502"/>
      <c r="W5" s="482"/>
      <c r="X5" s="693"/>
      <c r="Z5" s="480"/>
      <c r="AA5" s="728"/>
      <c r="AB5" s="729"/>
      <c r="AC5" s="729"/>
      <c r="AD5" s="729"/>
      <c r="AE5" s="729"/>
      <c r="AF5" s="729"/>
      <c r="AG5" s="729"/>
      <c r="AH5" s="729"/>
      <c r="AI5" s="729"/>
      <c r="AJ5" s="729"/>
      <c r="AK5" s="729"/>
      <c r="AL5" s="729"/>
      <c r="AM5" s="730"/>
      <c r="AN5" s="497"/>
      <c r="AO5" s="501"/>
      <c r="AP5" s="734"/>
      <c r="AQ5" s="734"/>
      <c r="AR5" s="734"/>
      <c r="AS5" s="734"/>
      <c r="AT5" s="502"/>
      <c r="AU5" s="482"/>
      <c r="AV5" s="693"/>
    </row>
    <row r="6" spans="2:48" ht="16" customHeight="1" x14ac:dyDescent="0.2">
      <c r="B6" s="480"/>
      <c r="C6" s="728"/>
      <c r="D6" s="729"/>
      <c r="E6" s="729"/>
      <c r="F6" s="729"/>
      <c r="G6" s="729"/>
      <c r="H6" s="729"/>
      <c r="I6" s="729"/>
      <c r="J6" s="729"/>
      <c r="K6" s="729"/>
      <c r="L6" s="729"/>
      <c r="M6" s="729"/>
      <c r="N6" s="729"/>
      <c r="O6" s="730"/>
      <c r="P6" s="497"/>
      <c r="Q6" s="749" t="str">
        <f>IF('Weight Estimations'!$C$2=0,IF(AND(Front!$E$12=0,Front!$G$12=0,Front!$I$12=0),"","Estimated weight for "&amp;IF(Front!$E$12=0,IF(Front!$G$12=0,Front!$I$12&amp;" week",Front!$G$12&amp;" month"),Front!$E$12&amp;" year")&amp;" old"),"Entered weight")</f>
        <v/>
      </c>
      <c r="R6" s="750"/>
      <c r="S6" s="750"/>
      <c r="T6" s="750"/>
      <c r="U6" s="750"/>
      <c r="V6" s="751"/>
      <c r="W6" s="482"/>
      <c r="X6" s="693"/>
      <c r="Z6" s="480"/>
      <c r="AA6" s="728"/>
      <c r="AB6" s="729"/>
      <c r="AC6" s="729"/>
      <c r="AD6" s="729"/>
      <c r="AE6" s="729"/>
      <c r="AF6" s="729"/>
      <c r="AG6" s="729"/>
      <c r="AH6" s="729"/>
      <c r="AI6" s="729"/>
      <c r="AJ6" s="729"/>
      <c r="AK6" s="729"/>
      <c r="AL6" s="729"/>
      <c r="AM6" s="730"/>
      <c r="AN6" s="497"/>
      <c r="AO6" s="749" t="str">
        <f>$Q$6</f>
        <v/>
      </c>
      <c r="AP6" s="750"/>
      <c r="AQ6" s="750"/>
      <c r="AR6" s="750"/>
      <c r="AS6" s="750"/>
      <c r="AT6" s="751"/>
      <c r="AU6" s="482"/>
      <c r="AV6" s="693"/>
    </row>
    <row r="7" spans="2:48" x14ac:dyDescent="0.2">
      <c r="B7" s="480"/>
      <c r="C7" s="731"/>
      <c r="D7" s="732"/>
      <c r="E7" s="732"/>
      <c r="F7" s="732"/>
      <c r="G7" s="732"/>
      <c r="H7" s="732"/>
      <c r="I7" s="732"/>
      <c r="J7" s="732"/>
      <c r="K7" s="732"/>
      <c r="L7" s="732"/>
      <c r="M7" s="732"/>
      <c r="N7" s="732"/>
      <c r="O7" s="733"/>
      <c r="P7" s="497"/>
      <c r="Q7" s="503"/>
      <c r="R7" s="504"/>
      <c r="S7" s="504"/>
      <c r="T7" s="504"/>
      <c r="U7" s="504"/>
      <c r="V7" s="505"/>
      <c r="W7" s="482"/>
      <c r="X7" s="693"/>
      <c r="Z7" s="480"/>
      <c r="AA7" s="731"/>
      <c r="AB7" s="732"/>
      <c r="AC7" s="732"/>
      <c r="AD7" s="732"/>
      <c r="AE7" s="732"/>
      <c r="AF7" s="732"/>
      <c r="AG7" s="732"/>
      <c r="AH7" s="732"/>
      <c r="AI7" s="732"/>
      <c r="AJ7" s="732"/>
      <c r="AK7" s="732"/>
      <c r="AL7" s="732"/>
      <c r="AM7" s="733"/>
      <c r="AN7" s="497"/>
      <c r="AO7" s="503"/>
      <c r="AP7" s="504"/>
      <c r="AQ7" s="504"/>
      <c r="AR7" s="504"/>
      <c r="AS7" s="504"/>
      <c r="AT7" s="505"/>
      <c r="AU7" s="482"/>
      <c r="AV7" s="693"/>
    </row>
    <row r="8" spans="2:48" ht="25" x14ac:dyDescent="0.25">
      <c r="B8" s="480"/>
      <c r="C8" s="735" t="str">
        <f ca="1">IFERROR(IF(Backend!$D$2=1,Admin!$G$7, "Subscription expired"),"")</f>
        <v>ED Paediatric Resuscitation Drugs</v>
      </c>
      <c r="D8" s="735"/>
      <c r="E8" s="735"/>
      <c r="F8" s="735"/>
      <c r="G8" s="735"/>
      <c r="H8" s="735"/>
      <c r="I8" s="735"/>
      <c r="J8" s="735"/>
      <c r="K8" s="735"/>
      <c r="L8" s="735"/>
      <c r="M8" s="735"/>
      <c r="N8" s="735"/>
      <c r="O8" s="735"/>
      <c r="P8" s="735"/>
      <c r="Q8" s="735"/>
      <c r="R8" s="735"/>
      <c r="S8" s="735"/>
      <c r="T8" s="735"/>
      <c r="U8" s="735"/>
      <c r="V8" s="735"/>
      <c r="W8" s="485"/>
      <c r="X8" s="693"/>
      <c r="Z8" s="480"/>
      <c r="AA8" s="735" t="str">
        <f ca="1">$C$8</f>
        <v>ED Paediatric Resuscitation Drugs</v>
      </c>
      <c r="AB8" s="735"/>
      <c r="AC8" s="735"/>
      <c r="AD8" s="735"/>
      <c r="AE8" s="735"/>
      <c r="AF8" s="735"/>
      <c r="AG8" s="735"/>
      <c r="AH8" s="735"/>
      <c r="AI8" s="735"/>
      <c r="AJ8" s="735"/>
      <c r="AK8" s="735"/>
      <c r="AL8" s="735"/>
      <c r="AM8" s="735"/>
      <c r="AN8" s="735"/>
      <c r="AO8" s="735"/>
      <c r="AP8" s="735"/>
      <c r="AQ8" s="735"/>
      <c r="AR8" s="735"/>
      <c r="AS8" s="735"/>
      <c r="AT8" s="735"/>
      <c r="AU8" s="482"/>
      <c r="AV8" s="693"/>
    </row>
    <row r="9" spans="2:48" ht="15" customHeight="1" x14ac:dyDescent="0.2">
      <c r="B9" s="480"/>
      <c r="C9" s="736"/>
      <c r="D9" s="737"/>
      <c r="E9" s="737"/>
      <c r="F9" s="737"/>
      <c r="G9" s="737"/>
      <c r="H9" s="737"/>
      <c r="I9" s="738"/>
      <c r="J9" s="742" t="s">
        <v>408</v>
      </c>
      <c r="K9" s="743"/>
      <c r="L9" s="743"/>
      <c r="M9" s="743"/>
      <c r="N9" s="743"/>
      <c r="O9" s="744"/>
      <c r="P9" s="748" t="s">
        <v>16</v>
      </c>
      <c r="Q9" s="743"/>
      <c r="R9" s="743"/>
      <c r="S9" s="743"/>
      <c r="T9" s="743"/>
      <c r="U9" s="743"/>
      <c r="V9" s="744"/>
      <c r="W9" s="488"/>
      <c r="X9" s="693"/>
      <c r="Z9" s="480"/>
      <c r="AA9" s="736"/>
      <c r="AB9" s="737"/>
      <c r="AC9" s="737"/>
      <c r="AD9" s="737"/>
      <c r="AE9" s="737"/>
      <c r="AF9" s="737"/>
      <c r="AG9" s="738"/>
      <c r="AH9" s="742" t="str">
        <f>$J$9</f>
        <v>Dose</v>
      </c>
      <c r="AI9" s="743"/>
      <c r="AJ9" s="743"/>
      <c r="AK9" s="743"/>
      <c r="AL9" s="743"/>
      <c r="AM9" s="744"/>
      <c r="AN9" s="748" t="str">
        <f>$P$9</f>
        <v>Notes</v>
      </c>
      <c r="AO9" s="743"/>
      <c r="AP9" s="743"/>
      <c r="AQ9" s="743"/>
      <c r="AR9" s="743"/>
      <c r="AS9" s="743"/>
      <c r="AT9" s="744"/>
      <c r="AU9" s="482"/>
      <c r="AV9" s="693"/>
    </row>
    <row r="10" spans="2:48" ht="15" customHeight="1" x14ac:dyDescent="0.2">
      <c r="B10" s="480"/>
      <c r="C10" s="739"/>
      <c r="D10" s="740"/>
      <c r="E10" s="740"/>
      <c r="F10" s="740"/>
      <c r="G10" s="740"/>
      <c r="H10" s="740"/>
      <c r="I10" s="741"/>
      <c r="J10" s="745"/>
      <c r="K10" s="746"/>
      <c r="L10" s="746"/>
      <c r="M10" s="746"/>
      <c r="N10" s="746"/>
      <c r="O10" s="747"/>
      <c r="P10" s="745"/>
      <c r="Q10" s="746"/>
      <c r="R10" s="746"/>
      <c r="S10" s="746"/>
      <c r="T10" s="746"/>
      <c r="U10" s="746"/>
      <c r="V10" s="747"/>
      <c r="W10" s="488"/>
      <c r="X10" s="693"/>
      <c r="Z10" s="480"/>
      <c r="AA10" s="739"/>
      <c r="AB10" s="740"/>
      <c r="AC10" s="740"/>
      <c r="AD10" s="740"/>
      <c r="AE10" s="740"/>
      <c r="AF10" s="740"/>
      <c r="AG10" s="741"/>
      <c r="AH10" s="745"/>
      <c r="AI10" s="746"/>
      <c r="AJ10" s="746"/>
      <c r="AK10" s="746"/>
      <c r="AL10" s="746"/>
      <c r="AM10" s="747"/>
      <c r="AN10" s="745"/>
      <c r="AO10" s="746"/>
      <c r="AP10" s="746"/>
      <c r="AQ10" s="746"/>
      <c r="AR10" s="746"/>
      <c r="AS10" s="746"/>
      <c r="AT10" s="747"/>
      <c r="AU10" s="482"/>
      <c r="AV10" s="693"/>
    </row>
    <row r="11" spans="2:48" ht="15" customHeight="1" x14ac:dyDescent="0.2">
      <c r="B11" s="480"/>
      <c r="C11" s="720" t="str">
        <f>IFERROR(Admin!C11,"")</f>
        <v>Cardiac arrest</v>
      </c>
      <c r="D11" s="720"/>
      <c r="E11" s="720"/>
      <c r="F11" s="720"/>
      <c r="G11" s="720"/>
      <c r="H11" s="720"/>
      <c r="I11" s="720"/>
      <c r="J11" s="721" t="str">
        <f>IFERROR(VLOOKUP(C11,WholeTable,26,FALSE),"")</f>
        <v>Cardiac arrest</v>
      </c>
      <c r="K11" s="721"/>
      <c r="L11" s="721"/>
      <c r="M11" s="721"/>
      <c r="N11" s="721"/>
      <c r="O11" s="721"/>
      <c r="P11" s="722">
        <f>IFERROR(VLOOKUP(C11,WholeTable,28,FALSE),"")</f>
        <v>0</v>
      </c>
      <c r="Q11" s="722"/>
      <c r="R11" s="722"/>
      <c r="S11" s="722"/>
      <c r="T11" s="722"/>
      <c r="U11" s="722"/>
      <c r="V11" s="722"/>
      <c r="W11" s="488"/>
      <c r="X11" s="693"/>
      <c r="Z11" s="480"/>
      <c r="AA11" s="720" t="str">
        <f>IFERROR(Admin!K11,"")</f>
        <v>Status Epilepticus</v>
      </c>
      <c r="AB11" s="720"/>
      <c r="AC11" s="720"/>
      <c r="AD11" s="720"/>
      <c r="AE11" s="720"/>
      <c r="AF11" s="720"/>
      <c r="AG11" s="720"/>
      <c r="AH11" s="721" t="str">
        <f>IFERROR(VLOOKUP(AA11,WholeTable,26,FALSE),"")</f>
        <v>Status Epilepticus</v>
      </c>
      <c r="AI11" s="721"/>
      <c r="AJ11" s="721"/>
      <c r="AK11" s="721"/>
      <c r="AL11" s="721"/>
      <c r="AM11" s="721"/>
      <c r="AN11" s="722">
        <f>IFERROR(VLOOKUP(AA11,WholeTable,28,FALSE),"")</f>
        <v>0</v>
      </c>
      <c r="AO11" s="722"/>
      <c r="AP11" s="722"/>
      <c r="AQ11" s="722"/>
      <c r="AR11" s="722"/>
      <c r="AS11" s="722"/>
      <c r="AT11" s="722"/>
      <c r="AU11" s="482"/>
      <c r="AV11" s="693"/>
    </row>
    <row r="12" spans="2:48" ht="15" customHeight="1" x14ac:dyDescent="0.2">
      <c r="B12" s="480"/>
      <c r="C12" s="723">
        <f>IFERROR(VLOOKUP(C11,WholeTable,27,FALSE),"")</f>
        <v>0</v>
      </c>
      <c r="D12" s="723"/>
      <c r="E12" s="723"/>
      <c r="F12" s="723"/>
      <c r="G12" s="723"/>
      <c r="H12" s="723"/>
      <c r="I12" s="723"/>
      <c r="J12" s="721"/>
      <c r="K12" s="721"/>
      <c r="L12" s="721"/>
      <c r="M12" s="721"/>
      <c r="N12" s="721"/>
      <c r="O12" s="721"/>
      <c r="P12" s="724">
        <f>IFERROR(VLOOKUP(C11,WholeTable,29,FALSE),"")</f>
        <v>0</v>
      </c>
      <c r="Q12" s="724"/>
      <c r="R12" s="724"/>
      <c r="S12" s="724"/>
      <c r="T12" s="724"/>
      <c r="U12" s="724"/>
      <c r="V12" s="724"/>
      <c r="W12" s="488"/>
      <c r="X12" s="693"/>
      <c r="Z12" s="480"/>
      <c r="AA12" s="723">
        <f>IFERROR(VLOOKUP(AA11,WholeTable,27,FALSE),"")</f>
        <v>0</v>
      </c>
      <c r="AB12" s="723"/>
      <c r="AC12" s="723"/>
      <c r="AD12" s="723"/>
      <c r="AE12" s="723"/>
      <c r="AF12" s="723"/>
      <c r="AG12" s="723"/>
      <c r="AH12" s="721"/>
      <c r="AI12" s="721"/>
      <c r="AJ12" s="721"/>
      <c r="AK12" s="721"/>
      <c r="AL12" s="721"/>
      <c r="AM12" s="721"/>
      <c r="AN12" s="724">
        <f>IFERROR(VLOOKUP(AA11,WholeTable,29,FALSE),"")</f>
        <v>0</v>
      </c>
      <c r="AO12" s="724"/>
      <c r="AP12" s="724"/>
      <c r="AQ12" s="724"/>
      <c r="AR12" s="724"/>
      <c r="AS12" s="724"/>
      <c r="AT12" s="724"/>
      <c r="AU12" s="482"/>
      <c r="AV12" s="693"/>
    </row>
    <row r="13" spans="2:48" ht="15" customHeight="1" x14ac:dyDescent="0.2">
      <c r="B13" s="480"/>
      <c r="C13" s="720" t="str">
        <f>IFERROR(Admin!C13,"")</f>
        <v xml:space="preserve">Defibrillation (biphasic) </v>
      </c>
      <c r="D13" s="720"/>
      <c r="E13" s="720"/>
      <c r="F13" s="720"/>
      <c r="G13" s="720"/>
      <c r="H13" s="720"/>
      <c r="I13" s="720"/>
      <c r="J13" s="721" t="str">
        <f>IFERROR(VLOOKUP(C13,WholeTable,26,FALSE),"")</f>
        <v>14 Joules</v>
      </c>
      <c r="K13" s="721"/>
      <c r="L13" s="721"/>
      <c r="M13" s="721"/>
      <c r="N13" s="721"/>
      <c r="O13" s="721"/>
      <c r="P13" s="722" t="str">
        <f>IFERROR(VLOOKUP(C13,WholeTable,28,FALSE),"")</f>
        <v>4 J/kg = 14 J</v>
      </c>
      <c r="Q13" s="722"/>
      <c r="R13" s="722"/>
      <c r="S13" s="722"/>
      <c r="T13" s="722"/>
      <c r="U13" s="722"/>
      <c r="V13" s="722"/>
      <c r="W13" s="490"/>
      <c r="X13" s="693"/>
      <c r="Z13" s="480"/>
      <c r="AA13" s="720" t="str">
        <f>IFERROR(Admin!K13,"")</f>
        <v>Midazolam IV (5mg/5mL)</v>
      </c>
      <c r="AB13" s="720"/>
      <c r="AC13" s="720"/>
      <c r="AD13" s="720"/>
      <c r="AE13" s="720"/>
      <c r="AF13" s="720"/>
      <c r="AG13" s="720"/>
      <c r="AH13" s="721" t="str">
        <f>IFERROR(VLOOKUP(AA13,WholeTable,26,FALSE),"")</f>
        <v>0.5 mL</v>
      </c>
      <c r="AI13" s="721"/>
      <c r="AJ13" s="721"/>
      <c r="AK13" s="721"/>
      <c r="AL13" s="721"/>
      <c r="AM13" s="721"/>
      <c r="AN13" s="722" t="str">
        <f>IFERROR(VLOOKUP(AA13,WholeTable,28,FALSE),"")</f>
        <v>0.15 mg/kg = 0.53 mg</v>
      </c>
      <c r="AO13" s="722"/>
      <c r="AP13" s="722"/>
      <c r="AQ13" s="722"/>
      <c r="AR13" s="722"/>
      <c r="AS13" s="722"/>
      <c r="AT13" s="722"/>
      <c r="AU13" s="482"/>
      <c r="AV13" s="693"/>
    </row>
    <row r="14" spans="2:48" ht="15" customHeight="1" x14ac:dyDescent="0.2">
      <c r="B14" s="480"/>
      <c r="C14" s="723">
        <f>IFERROR(VLOOKUP(C13,WholeTable,27,FALSE),"")</f>
        <v>0</v>
      </c>
      <c r="D14" s="723"/>
      <c r="E14" s="723"/>
      <c r="F14" s="723"/>
      <c r="G14" s="723"/>
      <c r="H14" s="723"/>
      <c r="I14" s="723"/>
      <c r="J14" s="721"/>
      <c r="K14" s="721"/>
      <c r="L14" s="721"/>
      <c r="M14" s="721"/>
      <c r="N14" s="721"/>
      <c r="O14" s="721"/>
      <c r="P14" s="724" t="str">
        <f>IFERROR(VLOOKUP(C13,WholeTable,29,FALSE),"")</f>
        <v>Round upwards to nearest setting</v>
      </c>
      <c r="Q14" s="724"/>
      <c r="R14" s="724"/>
      <c r="S14" s="724"/>
      <c r="T14" s="724"/>
      <c r="U14" s="724"/>
      <c r="V14" s="724"/>
      <c r="W14" s="490"/>
      <c r="X14" s="693"/>
      <c r="Z14" s="480"/>
      <c r="AA14" s="723">
        <f>IFERROR(VLOOKUP(AA13,WholeTable,27,FALSE),"")</f>
        <v>0</v>
      </c>
      <c r="AB14" s="723"/>
      <c r="AC14" s="723"/>
      <c r="AD14" s="723"/>
      <c r="AE14" s="723"/>
      <c r="AF14" s="723"/>
      <c r="AG14" s="723"/>
      <c r="AH14" s="721"/>
      <c r="AI14" s="721"/>
      <c r="AJ14" s="721"/>
      <c r="AK14" s="721"/>
      <c r="AL14" s="721"/>
      <c r="AM14" s="721"/>
      <c r="AN14" s="724" t="str">
        <f>IFERROR(VLOOKUP(AA13,WholeTable,29,FALSE),"")</f>
        <v>max = 10 mg</v>
      </c>
      <c r="AO14" s="724"/>
      <c r="AP14" s="724"/>
      <c r="AQ14" s="724"/>
      <c r="AR14" s="724"/>
      <c r="AS14" s="724"/>
      <c r="AT14" s="724"/>
      <c r="AU14" s="482"/>
      <c r="AV14" s="693"/>
    </row>
    <row r="15" spans="2:48" ht="15" customHeight="1" x14ac:dyDescent="0.2">
      <c r="B15" s="480"/>
      <c r="C15" s="720" t="str">
        <f>IFERROR(Admin!C15,"")</f>
        <v>Adrenaline IV (for cardiac arrest)</v>
      </c>
      <c r="D15" s="720"/>
      <c r="E15" s="720"/>
      <c r="F15" s="720"/>
      <c r="G15" s="720"/>
      <c r="H15" s="720"/>
      <c r="I15" s="720"/>
      <c r="J15" s="721" t="str">
        <f>IFERROR(VLOOKUP(C15,WholeTable,26,FALSE),"")</f>
        <v>0.35 mL</v>
      </c>
      <c r="K15" s="721"/>
      <c r="L15" s="721"/>
      <c r="M15" s="721"/>
      <c r="N15" s="721"/>
      <c r="O15" s="721"/>
      <c r="P15" s="722" t="str">
        <f>IFERROR(VLOOKUP(C15,WholeTable,28,FALSE),"")</f>
        <v>10 mcg/kg = 35 micrograms</v>
      </c>
      <c r="Q15" s="722"/>
      <c r="R15" s="722"/>
      <c r="S15" s="722"/>
      <c r="T15" s="722"/>
      <c r="U15" s="722"/>
      <c r="V15" s="722"/>
      <c r="W15" s="490"/>
      <c r="X15" s="693"/>
      <c r="Z15" s="480"/>
      <c r="AA15" s="720" t="str">
        <f>IFERROR(Admin!K15,"")</f>
        <v>Midazolam IM (15mg/3mL)</v>
      </c>
      <c r="AB15" s="720"/>
      <c r="AC15" s="720"/>
      <c r="AD15" s="720"/>
      <c r="AE15" s="720"/>
      <c r="AF15" s="720"/>
      <c r="AG15" s="720"/>
      <c r="AH15" s="721" t="str">
        <f>IFERROR(VLOOKUP(AA15,WholeTable,26,FALSE),"")</f>
        <v>0.14 mL INTRAMUSCULAR</v>
      </c>
      <c r="AI15" s="721"/>
      <c r="AJ15" s="721"/>
      <c r="AK15" s="721"/>
      <c r="AL15" s="721"/>
      <c r="AM15" s="721"/>
      <c r="AN15" s="722" t="str">
        <f>IFERROR(VLOOKUP(AA15,WholeTable,28,FALSE),"")</f>
        <v>0.2 mg/kg = 0.7 mg</v>
      </c>
      <c r="AO15" s="722"/>
      <c r="AP15" s="722"/>
      <c r="AQ15" s="722"/>
      <c r="AR15" s="722"/>
      <c r="AS15" s="722"/>
      <c r="AT15" s="722"/>
      <c r="AU15" s="482"/>
      <c r="AV15" s="693"/>
    </row>
    <row r="16" spans="2:48" ht="15" customHeight="1" x14ac:dyDescent="0.2">
      <c r="B16" s="480"/>
      <c r="C16" s="723" t="str">
        <f>IFERROR(VLOOKUP(C15,WholeTable,27,FALSE),"")</f>
        <v>1:10,000 LARGE Ampoule</v>
      </c>
      <c r="D16" s="723"/>
      <c r="E16" s="723"/>
      <c r="F16" s="723"/>
      <c r="G16" s="723"/>
      <c r="H16" s="723"/>
      <c r="I16" s="723"/>
      <c r="J16" s="721"/>
      <c r="K16" s="721"/>
      <c r="L16" s="721"/>
      <c r="M16" s="721"/>
      <c r="N16" s="721"/>
      <c r="O16" s="721"/>
      <c r="P16" s="724" t="str">
        <f>IFERROR(VLOOKUP(C15,WholeTable,29,FALSE),"")</f>
        <v>max = 1000 micrograms</v>
      </c>
      <c r="Q16" s="724"/>
      <c r="R16" s="724"/>
      <c r="S16" s="724"/>
      <c r="T16" s="724"/>
      <c r="U16" s="724"/>
      <c r="V16" s="724"/>
      <c r="W16" s="490"/>
      <c r="X16" s="693"/>
      <c r="Z16" s="480"/>
      <c r="AA16" s="723" t="str">
        <f>IFERROR(VLOOKUP(AA15,WholeTable,27,FALSE),"")</f>
        <v>if no IV access</v>
      </c>
      <c r="AB16" s="723"/>
      <c r="AC16" s="723"/>
      <c r="AD16" s="723"/>
      <c r="AE16" s="723"/>
      <c r="AF16" s="723"/>
      <c r="AG16" s="723"/>
      <c r="AH16" s="721"/>
      <c r="AI16" s="721"/>
      <c r="AJ16" s="721"/>
      <c r="AK16" s="721"/>
      <c r="AL16" s="721"/>
      <c r="AM16" s="721"/>
      <c r="AN16" s="724" t="str">
        <f>IFERROR(VLOOKUP(AA15,WholeTable,29,FALSE),"")</f>
        <v>max = 10 mg</v>
      </c>
      <c r="AO16" s="724"/>
      <c r="AP16" s="724"/>
      <c r="AQ16" s="724"/>
      <c r="AR16" s="724"/>
      <c r="AS16" s="724"/>
      <c r="AT16" s="724"/>
      <c r="AU16" s="482"/>
      <c r="AV16" s="693"/>
    </row>
    <row r="17" spans="2:48" ht="15" customHeight="1" x14ac:dyDescent="0.2">
      <c r="B17" s="480"/>
      <c r="C17" s="720" t="str">
        <f>IFERROR(Admin!C17,"")</f>
        <v>Amiodarone (150mg/3mL)</v>
      </c>
      <c r="D17" s="720"/>
      <c r="E17" s="720"/>
      <c r="F17" s="720"/>
      <c r="G17" s="720"/>
      <c r="H17" s="720"/>
      <c r="I17" s="720"/>
      <c r="J17" s="721" t="str">
        <f>IFERROR(VLOOKUP(C17,WholeTable,26,FALSE),"")</f>
        <v>0.35 mL</v>
      </c>
      <c r="K17" s="721"/>
      <c r="L17" s="721"/>
      <c r="M17" s="721"/>
      <c r="N17" s="721"/>
      <c r="O17" s="721"/>
      <c r="P17" s="722" t="str">
        <f>IFERROR(VLOOKUP(C17,WholeTable,28,FALSE),"")</f>
        <v>5 mg/kg = 17.5 mg</v>
      </c>
      <c r="Q17" s="722"/>
      <c r="R17" s="722"/>
      <c r="S17" s="722"/>
      <c r="T17" s="722"/>
      <c r="U17" s="722"/>
      <c r="V17" s="722"/>
      <c r="W17" s="490"/>
      <c r="X17" s="693"/>
      <c r="Z17" s="480"/>
      <c r="AA17" s="720" t="str">
        <f>IFERROR(Admin!K17,"")</f>
        <v>Levetiracetam IV (500mg/5mL)</v>
      </c>
      <c r="AB17" s="720"/>
      <c r="AC17" s="720"/>
      <c r="AD17" s="720"/>
      <c r="AE17" s="720"/>
      <c r="AF17" s="720"/>
      <c r="AG17" s="720"/>
      <c r="AH17" s="721" t="str">
        <f>IFERROR(VLOOKUP(AA17,WholeTable,26,FALSE),"")</f>
        <v>Dilute 1.4 mL to 10 mL N/S
 Infuse over 5 minutes</v>
      </c>
      <c r="AI17" s="721"/>
      <c r="AJ17" s="721"/>
      <c r="AK17" s="721"/>
      <c r="AL17" s="721"/>
      <c r="AM17" s="721"/>
      <c r="AN17" s="722" t="str">
        <f>IFERROR(VLOOKUP(AA17,WholeTable,28,FALSE),"")</f>
        <v>40 mg/kg = 140 mg</v>
      </c>
      <c r="AO17" s="722"/>
      <c r="AP17" s="722"/>
      <c r="AQ17" s="722"/>
      <c r="AR17" s="722"/>
      <c r="AS17" s="722"/>
      <c r="AT17" s="722"/>
      <c r="AU17" s="482"/>
      <c r="AV17" s="693"/>
    </row>
    <row r="18" spans="2:48" ht="15" customHeight="1" x14ac:dyDescent="0.2">
      <c r="B18" s="480"/>
      <c r="C18" s="723">
        <f>IFERROR(VLOOKUP(C17,WholeTable,27,FALSE),"")</f>
        <v>0</v>
      </c>
      <c r="D18" s="723"/>
      <c r="E18" s="723"/>
      <c r="F18" s="723"/>
      <c r="G18" s="723"/>
      <c r="H18" s="723"/>
      <c r="I18" s="723"/>
      <c r="J18" s="721"/>
      <c r="K18" s="721"/>
      <c r="L18" s="721"/>
      <c r="M18" s="721"/>
      <c r="N18" s="721"/>
      <c r="O18" s="721"/>
      <c r="P18" s="724" t="str">
        <f>IFERROR(VLOOKUP(C17,WholeTable,29,FALSE),"")</f>
        <v>max = 300 mg</v>
      </c>
      <c r="Q18" s="724"/>
      <c r="R18" s="724"/>
      <c r="S18" s="724"/>
      <c r="T18" s="724"/>
      <c r="U18" s="724"/>
      <c r="V18" s="724"/>
      <c r="W18" s="490"/>
      <c r="X18" s="693"/>
      <c r="Z18" s="480"/>
      <c r="AA18" s="723">
        <f>IFERROR(VLOOKUP(AA17,WholeTable,27,FALSE),"")</f>
        <v>0</v>
      </c>
      <c r="AB18" s="723"/>
      <c r="AC18" s="723"/>
      <c r="AD18" s="723"/>
      <c r="AE18" s="723"/>
      <c r="AF18" s="723"/>
      <c r="AG18" s="723"/>
      <c r="AH18" s="721"/>
      <c r="AI18" s="721"/>
      <c r="AJ18" s="721"/>
      <c r="AK18" s="721"/>
      <c r="AL18" s="721"/>
      <c r="AM18" s="721"/>
      <c r="AN18" s="724" t="str">
        <f>IFERROR(VLOOKUP(AA17,WholeTable,29,FALSE),"")</f>
        <v>max = 3 grams</v>
      </c>
      <c r="AO18" s="724"/>
      <c r="AP18" s="724"/>
      <c r="AQ18" s="724"/>
      <c r="AR18" s="724"/>
      <c r="AS18" s="724"/>
      <c r="AT18" s="724"/>
      <c r="AU18" s="482"/>
      <c r="AV18" s="693"/>
    </row>
    <row r="19" spans="2:48" ht="15" customHeight="1" x14ac:dyDescent="0.2">
      <c r="B19" s="480"/>
      <c r="C19" s="720" t="str">
        <f>IFERROR(Admin!C19,"")</f>
        <v>Atropine (600mcg/1mL)</v>
      </c>
      <c r="D19" s="720"/>
      <c r="E19" s="720"/>
      <c r="F19" s="720"/>
      <c r="G19" s="720"/>
      <c r="H19" s="720"/>
      <c r="I19" s="720"/>
      <c r="J19" s="721" t="str">
        <f>IFERROR(VLOOKUP(C19,WholeTable,26,FALSE),"")</f>
        <v>0.12 mL</v>
      </c>
      <c r="K19" s="721"/>
      <c r="L19" s="721"/>
      <c r="M19" s="721"/>
      <c r="N19" s="721"/>
      <c r="O19" s="721"/>
      <c r="P19" s="722" t="str">
        <f>IFERROR(VLOOKUP(C19,WholeTable,28,FALSE),"")</f>
        <v>20 mcg/kg = 70 micrograms</v>
      </c>
      <c r="Q19" s="722"/>
      <c r="R19" s="722"/>
      <c r="S19" s="722"/>
      <c r="T19" s="722"/>
      <c r="U19" s="722"/>
      <c r="V19" s="722"/>
      <c r="W19" s="490"/>
      <c r="X19" s="693"/>
      <c r="Z19" s="480"/>
      <c r="AA19" s="720" t="str">
        <f>IFERROR(Admin!K19,"")</f>
        <v>Phenytoin IV (250mg/5mL)</v>
      </c>
      <c r="AB19" s="720"/>
      <c r="AC19" s="720"/>
      <c r="AD19" s="720"/>
      <c r="AE19" s="720"/>
      <c r="AF19" s="720"/>
      <c r="AG19" s="720"/>
      <c r="AH19" s="721" t="str">
        <f>IFERROR(VLOOKUP(AA19,WholeTable,26,FALSE),"")</f>
        <v>Dilute 1.4 mL to 14 mL N/S
 Infuse over 20 minutes</v>
      </c>
      <c r="AI19" s="721"/>
      <c r="AJ19" s="721"/>
      <c r="AK19" s="721"/>
      <c r="AL19" s="721"/>
      <c r="AM19" s="721"/>
      <c r="AN19" s="722" t="str">
        <f>IFERROR(VLOOKUP(AA19,WholeTable,28,FALSE),"")</f>
        <v>20 mg/kg = 70 mg (max = 1 gram)</v>
      </c>
      <c r="AO19" s="722"/>
      <c r="AP19" s="722"/>
      <c r="AQ19" s="722"/>
      <c r="AR19" s="722"/>
      <c r="AS19" s="722"/>
      <c r="AT19" s="722"/>
      <c r="AU19" s="482"/>
      <c r="AV19" s="693"/>
    </row>
    <row r="20" spans="2:48" ht="15" customHeight="1" x14ac:dyDescent="0.2">
      <c r="B20" s="480"/>
      <c r="C20" s="723">
        <f>IFERROR(VLOOKUP(C19,WholeTable,27,FALSE),"")</f>
        <v>0</v>
      </c>
      <c r="D20" s="723"/>
      <c r="E20" s="723"/>
      <c r="F20" s="723"/>
      <c r="G20" s="723"/>
      <c r="H20" s="723"/>
      <c r="I20" s="723"/>
      <c r="J20" s="721"/>
      <c r="K20" s="721"/>
      <c r="L20" s="721"/>
      <c r="M20" s="721"/>
      <c r="N20" s="721"/>
      <c r="O20" s="721"/>
      <c r="P20" s="724" t="str">
        <f>IFERROR(VLOOKUP(C19,WholeTable,29,FALSE),"")</f>
        <v>max = 600 micrograms</v>
      </c>
      <c r="Q20" s="724"/>
      <c r="R20" s="724"/>
      <c r="S20" s="724"/>
      <c r="T20" s="724"/>
      <c r="U20" s="724"/>
      <c r="V20" s="724"/>
      <c r="W20" s="490"/>
      <c r="X20" s="693"/>
      <c r="Z20" s="480"/>
      <c r="AA20" s="723">
        <f>IFERROR(VLOOKUP(AA19,WholeTable,27,FALSE),"")</f>
        <v>0</v>
      </c>
      <c r="AB20" s="723"/>
      <c r="AC20" s="723"/>
      <c r="AD20" s="723"/>
      <c r="AE20" s="723"/>
      <c r="AF20" s="723"/>
      <c r="AG20" s="723"/>
      <c r="AH20" s="721"/>
      <c r="AI20" s="721"/>
      <c r="AJ20" s="721"/>
      <c r="AK20" s="721"/>
      <c r="AL20" s="721"/>
      <c r="AM20" s="721"/>
      <c r="AN20" s="724" t="str">
        <f>IFERROR(VLOOKUP(AA19,WholeTable,29,FALSE),"")</f>
        <v xml:space="preserve"> ** Use 0.2 micron filter **</v>
      </c>
      <c r="AO20" s="724"/>
      <c r="AP20" s="724"/>
      <c r="AQ20" s="724"/>
      <c r="AR20" s="724"/>
      <c r="AS20" s="724"/>
      <c r="AT20" s="724"/>
      <c r="AU20" s="482"/>
      <c r="AV20" s="693"/>
    </row>
    <row r="21" spans="2:48" ht="15" customHeight="1" x14ac:dyDescent="0.2">
      <c r="B21" s="480"/>
      <c r="C21" s="720" t="str">
        <f>IFERROR(Admin!C21,"")</f>
        <v>Bicarbonate 8.4%</v>
      </c>
      <c r="D21" s="720"/>
      <c r="E21" s="720"/>
      <c r="F21" s="720"/>
      <c r="G21" s="720"/>
      <c r="H21" s="720"/>
      <c r="I21" s="720"/>
      <c r="J21" s="721" t="str">
        <f>IFERROR(VLOOKUP(C21,WholeTable,26,FALSE),"")</f>
        <v>4 mL</v>
      </c>
      <c r="K21" s="721"/>
      <c r="L21" s="721"/>
      <c r="M21" s="721"/>
      <c r="N21" s="721"/>
      <c r="O21" s="721"/>
      <c r="P21" s="722" t="str">
        <f>IFERROR(VLOOKUP(C21,WholeTable,28,FALSE),"")</f>
        <v>1 mmol/kg = 4 mmol</v>
      </c>
      <c r="Q21" s="722"/>
      <c r="R21" s="722"/>
      <c r="S21" s="722"/>
      <c r="T21" s="722"/>
      <c r="U21" s="722"/>
      <c r="V21" s="722"/>
      <c r="W21" s="490"/>
      <c r="X21" s="693"/>
      <c r="Z21" s="480"/>
      <c r="AA21" s="720" t="str">
        <f>IFERROR(Admin!K21,"")</f>
        <v>Asthma</v>
      </c>
      <c r="AB21" s="720"/>
      <c r="AC21" s="720"/>
      <c r="AD21" s="720"/>
      <c r="AE21" s="720"/>
      <c r="AF21" s="720"/>
      <c r="AG21" s="720"/>
      <c r="AH21" s="721" t="str">
        <f>IFERROR(VLOOKUP(AA21,WholeTable,26,FALSE),"")</f>
        <v>Asthma</v>
      </c>
      <c r="AI21" s="721"/>
      <c r="AJ21" s="721"/>
      <c r="AK21" s="721"/>
      <c r="AL21" s="721"/>
      <c r="AM21" s="721"/>
      <c r="AN21" s="722">
        <f>IFERROR(VLOOKUP(AA21,WholeTable,28,FALSE),"")</f>
        <v>0</v>
      </c>
      <c r="AO21" s="722"/>
      <c r="AP21" s="722"/>
      <c r="AQ21" s="722"/>
      <c r="AR21" s="722"/>
      <c r="AS21" s="722"/>
      <c r="AT21" s="722"/>
      <c r="AU21" s="482"/>
      <c r="AV21" s="693"/>
    </row>
    <row r="22" spans="2:48" ht="15" customHeight="1" x14ac:dyDescent="0.2">
      <c r="B22" s="480"/>
      <c r="C22" s="723">
        <f>IFERROR(VLOOKUP(C21,WholeTable,27,FALSE),"")</f>
        <v>0</v>
      </c>
      <c r="D22" s="723"/>
      <c r="E22" s="723"/>
      <c r="F22" s="723"/>
      <c r="G22" s="723"/>
      <c r="H22" s="723"/>
      <c r="I22" s="723"/>
      <c r="J22" s="721"/>
      <c r="K22" s="721"/>
      <c r="L22" s="721"/>
      <c r="M22" s="721"/>
      <c r="N22" s="721"/>
      <c r="O22" s="721"/>
      <c r="P22" s="724" t="str">
        <f>IFERROR(VLOOKUP(C21,WholeTable,29,FALSE),"")</f>
        <v>max = 100 mL</v>
      </c>
      <c r="Q22" s="724"/>
      <c r="R22" s="724"/>
      <c r="S22" s="724"/>
      <c r="T22" s="724"/>
      <c r="U22" s="724"/>
      <c r="V22" s="724"/>
      <c r="W22" s="490"/>
      <c r="X22" s="693"/>
      <c r="Z22" s="480"/>
      <c r="AA22" s="723">
        <f>IFERROR(VLOOKUP(AA21,WholeTable,27,FALSE),"")</f>
        <v>0</v>
      </c>
      <c r="AB22" s="723"/>
      <c r="AC22" s="723"/>
      <c r="AD22" s="723"/>
      <c r="AE22" s="723"/>
      <c r="AF22" s="723"/>
      <c r="AG22" s="723"/>
      <c r="AH22" s="721"/>
      <c r="AI22" s="721"/>
      <c r="AJ22" s="721"/>
      <c r="AK22" s="721"/>
      <c r="AL22" s="721"/>
      <c r="AM22" s="721"/>
      <c r="AN22" s="724">
        <f>IFERROR(VLOOKUP(AA21,WholeTable,29,FALSE),"")</f>
        <v>0</v>
      </c>
      <c r="AO22" s="724"/>
      <c r="AP22" s="724"/>
      <c r="AQ22" s="724"/>
      <c r="AR22" s="724"/>
      <c r="AS22" s="724"/>
      <c r="AT22" s="724"/>
      <c r="AU22" s="482"/>
      <c r="AV22" s="693"/>
    </row>
    <row r="23" spans="2:48" ht="15" customHeight="1" x14ac:dyDescent="0.2">
      <c r="B23" s="480"/>
      <c r="C23" s="720" t="str">
        <f>IFERROR(Admin!C23,"")</f>
        <v>Calcium Gluconate 10%</v>
      </c>
      <c r="D23" s="720"/>
      <c r="E23" s="720"/>
      <c r="F23" s="720"/>
      <c r="G23" s="720"/>
      <c r="H23" s="720"/>
      <c r="I23" s="720"/>
      <c r="J23" s="721" t="str">
        <f>IFERROR(VLOOKUP(C23,WholeTable,26,FALSE),"")</f>
        <v>1.8 mL</v>
      </c>
      <c r="K23" s="721"/>
      <c r="L23" s="721"/>
      <c r="M23" s="721"/>
      <c r="N23" s="721"/>
      <c r="O23" s="721"/>
      <c r="P23" s="722" t="str">
        <f>IFERROR(VLOOKUP(C23,WholeTable,28,FALSE),"")</f>
        <v>0.5 mL/kg = 1.8 mL neat</v>
      </c>
      <c r="Q23" s="722"/>
      <c r="R23" s="722"/>
      <c r="S23" s="722"/>
      <c r="T23" s="722"/>
      <c r="U23" s="722"/>
      <c r="V23" s="722"/>
      <c r="W23" s="490"/>
      <c r="X23" s="693"/>
      <c r="Z23" s="480"/>
      <c r="AA23" s="720" t="str">
        <f>IFERROR(Admin!K23,"")</f>
        <v>Magnesium Sulphate 50%</v>
      </c>
      <c r="AB23" s="720"/>
      <c r="AC23" s="720"/>
      <c r="AD23" s="720"/>
      <c r="AE23" s="720"/>
      <c r="AF23" s="720"/>
      <c r="AG23" s="720"/>
      <c r="AH23" s="721" t="str">
        <f>IFERROR(VLOOKUP(AA23,WholeTable,26,FALSE),"")</f>
        <v>Dilute 0.4 mL to 20 mL N/S
 Infuse over 20 minutes</v>
      </c>
      <c r="AI23" s="721"/>
      <c r="AJ23" s="721"/>
      <c r="AK23" s="721"/>
      <c r="AL23" s="721"/>
      <c r="AM23" s="721"/>
      <c r="AN23" s="722" t="str">
        <f>IFERROR(VLOOKUP(AA23,WholeTable,28,FALSE),"")</f>
        <v>0.2 mmol/kg = 0.7 mmol</v>
      </c>
      <c r="AO23" s="722"/>
      <c r="AP23" s="722"/>
      <c r="AQ23" s="722"/>
      <c r="AR23" s="722"/>
      <c r="AS23" s="722"/>
      <c r="AT23" s="722"/>
      <c r="AU23" s="482"/>
      <c r="AV23" s="693"/>
    </row>
    <row r="24" spans="2:48" ht="15" customHeight="1" x14ac:dyDescent="0.2">
      <c r="B24" s="480"/>
      <c r="C24" s="723" t="str">
        <f>IFERROR(VLOOKUP(C23,WholeTable,27,FALSE),"")</f>
        <v>for hyperkalaemia or hypocalcaemia</v>
      </c>
      <c r="D24" s="723"/>
      <c r="E24" s="723"/>
      <c r="F24" s="723"/>
      <c r="G24" s="723"/>
      <c r="H24" s="723"/>
      <c r="I24" s="723"/>
      <c r="J24" s="721"/>
      <c r="K24" s="721"/>
      <c r="L24" s="721"/>
      <c r="M24" s="721"/>
      <c r="N24" s="721"/>
      <c r="O24" s="721"/>
      <c r="P24" s="724" t="str">
        <f>IFERROR(VLOOKUP(C23,WholeTable,29,FALSE),"")</f>
        <v>max = 20 mL</v>
      </c>
      <c r="Q24" s="724"/>
      <c r="R24" s="724"/>
      <c r="S24" s="724"/>
      <c r="T24" s="724"/>
      <c r="U24" s="724"/>
      <c r="V24" s="724"/>
      <c r="W24" s="490"/>
      <c r="X24" s="693"/>
      <c r="Z24" s="480"/>
      <c r="AA24" s="723" t="str">
        <f>IFERROR(VLOOKUP(AA23,WholeTable,27,FALSE),"")</f>
        <v>(10mmol/5mL)</v>
      </c>
      <c r="AB24" s="723"/>
      <c r="AC24" s="723"/>
      <c r="AD24" s="723"/>
      <c r="AE24" s="723"/>
      <c r="AF24" s="723"/>
      <c r="AG24" s="723"/>
      <c r="AH24" s="721"/>
      <c r="AI24" s="721"/>
      <c r="AJ24" s="721"/>
      <c r="AK24" s="721"/>
      <c r="AL24" s="721"/>
      <c r="AM24" s="721"/>
      <c r="AN24" s="724" t="str">
        <f>IFERROR(VLOOKUP(AA23,WholeTable,29,FALSE),"")</f>
        <v>max = 10 mmol</v>
      </c>
      <c r="AO24" s="724"/>
      <c r="AP24" s="724"/>
      <c r="AQ24" s="724"/>
      <c r="AR24" s="724"/>
      <c r="AS24" s="724"/>
      <c r="AT24" s="724"/>
      <c r="AU24" s="482"/>
      <c r="AV24" s="693"/>
    </row>
    <row r="25" spans="2:48" ht="15" customHeight="1" x14ac:dyDescent="0.2">
      <c r="B25" s="480"/>
      <c r="C25" s="720" t="str">
        <f>IFERROR(Admin!C25,"")</f>
        <v>Glucose 10%</v>
      </c>
      <c r="D25" s="720"/>
      <c r="E25" s="720"/>
      <c r="F25" s="720"/>
      <c r="G25" s="720"/>
      <c r="H25" s="720"/>
      <c r="I25" s="720"/>
      <c r="J25" s="721" t="str">
        <f>IFERROR(VLOOKUP(C25,WholeTable,26,FALSE),"")</f>
        <v>7 - 18 mL</v>
      </c>
      <c r="K25" s="721"/>
      <c r="L25" s="721"/>
      <c r="M25" s="721"/>
      <c r="N25" s="721"/>
      <c r="O25" s="721"/>
      <c r="P25" s="722" t="str">
        <f>IFERROR(VLOOKUP(C25,WholeTable,28,FALSE),"")</f>
        <v>2-5 mL/kg = 7 - 18 mL</v>
      </c>
      <c r="Q25" s="722"/>
      <c r="R25" s="722"/>
      <c r="S25" s="722"/>
      <c r="T25" s="722"/>
      <c r="U25" s="722"/>
      <c r="V25" s="722"/>
      <c r="W25" s="490"/>
      <c r="X25" s="693"/>
      <c r="Z25" s="480"/>
      <c r="AA25" s="720" t="str">
        <f>IFERROR(Admin!K25,"")</f>
        <v>Salbutamol IV Bolus (500mcg/1mL)</v>
      </c>
      <c r="AB25" s="720"/>
      <c r="AC25" s="720"/>
      <c r="AD25" s="720"/>
      <c r="AE25" s="720"/>
      <c r="AF25" s="720"/>
      <c r="AG25" s="720"/>
      <c r="AH25" s="721" t="str">
        <f>IFERROR(VLOOKUP(AA25,WholeTable,26,FALSE),"")</f>
        <v>Dilute 0.07 mL to 5 mL N/S
 Slow push over 2 minutes</v>
      </c>
      <c r="AI25" s="721"/>
      <c r="AJ25" s="721"/>
      <c r="AK25" s="721"/>
      <c r="AL25" s="721"/>
      <c r="AM25" s="721"/>
      <c r="AN25" s="722" t="str">
        <f>IFERROR(VLOOKUP(AA25,WholeTable,28,FALSE),"")</f>
        <v>10 mcg/kg = 35 micrograms</v>
      </c>
      <c r="AO25" s="722"/>
      <c r="AP25" s="722"/>
      <c r="AQ25" s="722"/>
      <c r="AR25" s="722"/>
      <c r="AS25" s="722"/>
      <c r="AT25" s="722"/>
      <c r="AU25" s="482"/>
      <c r="AV25" s="693"/>
    </row>
    <row r="26" spans="2:48" ht="15" customHeight="1" x14ac:dyDescent="0.2">
      <c r="B26" s="480"/>
      <c r="C26" s="723">
        <f>IFERROR(VLOOKUP(C25,WholeTable,27,FALSE),"")</f>
        <v>0</v>
      </c>
      <c r="D26" s="723"/>
      <c r="E26" s="723"/>
      <c r="F26" s="723"/>
      <c r="G26" s="723"/>
      <c r="H26" s="723"/>
      <c r="I26" s="723"/>
      <c r="J26" s="721"/>
      <c r="K26" s="721"/>
      <c r="L26" s="721"/>
      <c r="M26" s="721"/>
      <c r="N26" s="721"/>
      <c r="O26" s="721"/>
      <c r="P26" s="724" t="str">
        <f>IFERROR(VLOOKUP(C25,WholeTable,29,FALSE),"")</f>
        <v>max = 500 mL</v>
      </c>
      <c r="Q26" s="724"/>
      <c r="R26" s="724"/>
      <c r="S26" s="724"/>
      <c r="T26" s="724"/>
      <c r="U26" s="724"/>
      <c r="V26" s="724"/>
      <c r="W26" s="490"/>
      <c r="X26" s="693"/>
      <c r="Z26" s="480"/>
      <c r="AA26" s="723">
        <f>IFERROR(VLOOKUP(AA25,WholeTable,27,FALSE),"")</f>
        <v>0</v>
      </c>
      <c r="AB26" s="723"/>
      <c r="AC26" s="723"/>
      <c r="AD26" s="723"/>
      <c r="AE26" s="723"/>
      <c r="AF26" s="723"/>
      <c r="AG26" s="723"/>
      <c r="AH26" s="721"/>
      <c r="AI26" s="721"/>
      <c r="AJ26" s="721"/>
      <c r="AK26" s="721"/>
      <c r="AL26" s="721"/>
      <c r="AM26" s="721"/>
      <c r="AN26" s="724" t="str">
        <f>IFERROR(VLOOKUP(AA25,WholeTable,29,FALSE),"")</f>
        <v>max = 500 micrograms</v>
      </c>
      <c r="AO26" s="724"/>
      <c r="AP26" s="724"/>
      <c r="AQ26" s="724"/>
      <c r="AR26" s="724"/>
      <c r="AS26" s="724"/>
      <c r="AT26" s="724"/>
      <c r="AU26" s="482"/>
      <c r="AV26" s="693"/>
    </row>
    <row r="27" spans="2:48" ht="15" customHeight="1" x14ac:dyDescent="0.2">
      <c r="B27" s="480"/>
      <c r="C27" s="720" t="str">
        <f>IFERROR(Admin!C27,"")</f>
        <v>RSI</v>
      </c>
      <c r="D27" s="720"/>
      <c r="E27" s="720"/>
      <c r="F27" s="720"/>
      <c r="G27" s="720"/>
      <c r="H27" s="720"/>
      <c r="I27" s="720"/>
      <c r="J27" s="721" t="str">
        <f>IFERROR(VLOOKUP(C27,WholeTable,26,FALSE),"")</f>
        <v>RSI</v>
      </c>
      <c r="K27" s="721"/>
      <c r="L27" s="721"/>
      <c r="M27" s="721"/>
      <c r="N27" s="721"/>
      <c r="O27" s="721"/>
      <c r="P27" s="722">
        <f>IFERROR(VLOOKUP(C27,WholeTable,28,FALSE),"")</f>
        <v>0</v>
      </c>
      <c r="Q27" s="722"/>
      <c r="R27" s="722"/>
      <c r="S27" s="722"/>
      <c r="T27" s="722"/>
      <c r="U27" s="722"/>
      <c r="V27" s="722"/>
      <c r="W27" s="490"/>
      <c r="X27" s="693"/>
      <c r="Z27" s="480"/>
      <c r="AA27" s="720" t="str">
        <f>IFERROR(Admin!K27,"")</f>
        <v>Aminophylline Load (250mg/10mL)</v>
      </c>
      <c r="AB27" s="720"/>
      <c r="AC27" s="720"/>
      <c r="AD27" s="720"/>
      <c r="AE27" s="720"/>
      <c r="AF27" s="720"/>
      <c r="AG27" s="720"/>
      <c r="AH27" s="721" t="str">
        <f>IFERROR(VLOOKUP(AA27,WholeTable,26,FALSE),"")</f>
        <v>Not recommended at this age</v>
      </c>
      <c r="AI27" s="721"/>
      <c r="AJ27" s="721"/>
      <c r="AK27" s="721"/>
      <c r="AL27" s="721"/>
      <c r="AM27" s="721"/>
      <c r="AN27" s="722">
        <f>IFERROR(VLOOKUP(AA27,WholeTable,28,FALSE),"")</f>
        <v>0</v>
      </c>
      <c r="AO27" s="722"/>
      <c r="AP27" s="722"/>
      <c r="AQ27" s="722"/>
      <c r="AR27" s="722"/>
      <c r="AS27" s="722"/>
      <c r="AT27" s="722"/>
      <c r="AU27" s="482"/>
      <c r="AV27" s="693"/>
    </row>
    <row r="28" spans="2:48" ht="15" customHeight="1" x14ac:dyDescent="0.2">
      <c r="B28" s="480"/>
      <c r="C28" s="723">
        <f>IFERROR(VLOOKUP(C27,WholeTable,27,FALSE),"")</f>
        <v>0</v>
      </c>
      <c r="D28" s="723"/>
      <c r="E28" s="723"/>
      <c r="F28" s="723"/>
      <c r="G28" s="723"/>
      <c r="H28" s="723"/>
      <c r="I28" s="723"/>
      <c r="J28" s="721"/>
      <c r="K28" s="721"/>
      <c r="L28" s="721"/>
      <c r="M28" s="721"/>
      <c r="N28" s="721"/>
      <c r="O28" s="721"/>
      <c r="P28" s="724">
        <f>IFERROR(VLOOKUP(C27,WholeTable,29,FALSE),"")</f>
        <v>0</v>
      </c>
      <c r="Q28" s="724"/>
      <c r="R28" s="724"/>
      <c r="S28" s="724"/>
      <c r="T28" s="724"/>
      <c r="U28" s="724"/>
      <c r="V28" s="724"/>
      <c r="W28" s="490"/>
      <c r="X28" s="693"/>
      <c r="Z28" s="480"/>
      <c r="AA28" s="723">
        <f>IFERROR(VLOOKUP(AA27,WholeTable,27,FALSE),"")</f>
        <v>0</v>
      </c>
      <c r="AB28" s="723"/>
      <c r="AC28" s="723"/>
      <c r="AD28" s="723"/>
      <c r="AE28" s="723"/>
      <c r="AF28" s="723"/>
      <c r="AG28" s="723"/>
      <c r="AH28" s="721"/>
      <c r="AI28" s="721"/>
      <c r="AJ28" s="721"/>
      <c r="AK28" s="721"/>
      <c r="AL28" s="721"/>
      <c r="AM28" s="721"/>
      <c r="AN28" s="724">
        <f>IFERROR(VLOOKUP(AA27,WholeTable,29,FALSE),"")</f>
        <v>0</v>
      </c>
      <c r="AO28" s="724"/>
      <c r="AP28" s="724"/>
      <c r="AQ28" s="724"/>
      <c r="AR28" s="724"/>
      <c r="AS28" s="724"/>
      <c r="AT28" s="724"/>
      <c r="AU28" s="482"/>
      <c r="AV28" s="693"/>
    </row>
    <row r="29" spans="2:48" ht="15" customHeight="1" x14ac:dyDescent="0.2">
      <c r="B29" s="480"/>
      <c r="C29" s="720" t="str">
        <f>IFERROR(Admin!C29,"")</f>
        <v>ETT Size</v>
      </c>
      <c r="D29" s="720"/>
      <c r="E29" s="720"/>
      <c r="F29" s="720"/>
      <c r="G29" s="720"/>
      <c r="H29" s="720"/>
      <c r="I29" s="720"/>
      <c r="J29" s="721" t="str">
        <f>IFERROR(VLOOKUP(C29,WholeTable,26,FALSE),"")</f>
        <v>3.5 mm (3.0 - 4.0)</v>
      </c>
      <c r="K29" s="721"/>
      <c r="L29" s="721"/>
      <c r="M29" s="721"/>
      <c r="N29" s="721"/>
      <c r="O29" s="721"/>
      <c r="P29" s="722" t="str">
        <f>IFERROR(VLOOKUP(C29,WholeTable,28,FALSE),"")</f>
        <v>ORAL: 9 cm @ lips</v>
      </c>
      <c r="Q29" s="722"/>
      <c r="R29" s="722"/>
      <c r="S29" s="722"/>
      <c r="T29" s="722"/>
      <c r="U29" s="722"/>
      <c r="V29" s="722"/>
      <c r="W29" s="490"/>
      <c r="X29" s="693"/>
      <c r="Z29" s="480"/>
      <c r="AA29" s="720" t="str">
        <f>IFERROR(Admin!K29,"")</f>
        <v>Hydrocortisone IV (for wheeze)</v>
      </c>
      <c r="AB29" s="720"/>
      <c r="AC29" s="720"/>
      <c r="AD29" s="720"/>
      <c r="AE29" s="720"/>
      <c r="AF29" s="720"/>
      <c r="AG29" s="720"/>
      <c r="AH29" s="721" t="str">
        <f>IFERROR(VLOOKUP(AA29,WholeTable,26,FALSE),"")</f>
        <v>0.3 mL</v>
      </c>
      <c r="AI29" s="721"/>
      <c r="AJ29" s="721"/>
      <c r="AK29" s="721"/>
      <c r="AL29" s="721"/>
      <c r="AM29" s="721"/>
      <c r="AN29" s="722" t="str">
        <f>IFERROR(VLOOKUP(AA29,WholeTable,28,FALSE),"")</f>
        <v>4 mg/kg = 14 mg</v>
      </c>
      <c r="AO29" s="722"/>
      <c r="AP29" s="722"/>
      <c r="AQ29" s="722"/>
      <c r="AR29" s="722"/>
      <c r="AS29" s="722"/>
      <c r="AT29" s="722"/>
      <c r="AU29" s="482"/>
      <c r="AV29" s="693"/>
    </row>
    <row r="30" spans="2:48" ht="15" customHeight="1" x14ac:dyDescent="0.2">
      <c r="B30" s="480"/>
      <c r="C30" s="723" t="str">
        <f>IFERROR(VLOOKUP(C29,WholeTable,27,FALSE),"")</f>
        <v>cuffed tube</v>
      </c>
      <c r="D30" s="723"/>
      <c r="E30" s="723"/>
      <c r="F30" s="723"/>
      <c r="G30" s="723"/>
      <c r="H30" s="723"/>
      <c r="I30" s="723"/>
      <c r="J30" s="721"/>
      <c r="K30" s="721"/>
      <c r="L30" s="721"/>
      <c r="M30" s="721"/>
      <c r="N30" s="721"/>
      <c r="O30" s="721"/>
      <c r="P30" s="724" t="str">
        <f>IFERROR(VLOOKUP(C29,WholeTable,29,FALSE),"")</f>
        <v>NASAL: 11 cm @ nose</v>
      </c>
      <c r="Q30" s="724"/>
      <c r="R30" s="724"/>
      <c r="S30" s="724"/>
      <c r="T30" s="724"/>
      <c r="U30" s="724"/>
      <c r="V30" s="724"/>
      <c r="W30" s="490"/>
      <c r="X30" s="693"/>
      <c r="Z30" s="480"/>
      <c r="AA30" s="723" t="str">
        <f>IFERROR(VLOOKUP(AA29,WholeTable,27,FALSE),"")</f>
        <v>(100mg/2mL)</v>
      </c>
      <c r="AB30" s="723"/>
      <c r="AC30" s="723"/>
      <c r="AD30" s="723"/>
      <c r="AE30" s="723"/>
      <c r="AF30" s="723"/>
      <c r="AG30" s="723"/>
      <c r="AH30" s="721"/>
      <c r="AI30" s="721"/>
      <c r="AJ30" s="721"/>
      <c r="AK30" s="721"/>
      <c r="AL30" s="721"/>
      <c r="AM30" s="721"/>
      <c r="AN30" s="724" t="str">
        <f>IFERROR(VLOOKUP(AA29,WholeTable,29,FALSE),"")</f>
        <v>max = 100 mg</v>
      </c>
      <c r="AO30" s="724"/>
      <c r="AP30" s="724"/>
      <c r="AQ30" s="724"/>
      <c r="AR30" s="724"/>
      <c r="AS30" s="724"/>
      <c r="AT30" s="724"/>
      <c r="AU30" s="482"/>
      <c r="AV30" s="693"/>
    </row>
    <row r="31" spans="2:48" ht="15" customHeight="1" x14ac:dyDescent="0.2">
      <c r="B31" s="480"/>
      <c r="C31" s="720" t="str">
        <f>IFERROR(Admin!C31,"")</f>
        <v>LMA Size (Classic)</v>
      </c>
      <c r="D31" s="720"/>
      <c r="E31" s="720"/>
      <c r="F31" s="720"/>
      <c r="G31" s="720"/>
      <c r="H31" s="720"/>
      <c r="I31" s="720"/>
      <c r="J31" s="721" t="str">
        <f>IFERROR(VLOOKUP(C31,WholeTable,26,FALSE),"")</f>
        <v>Size 1</v>
      </c>
      <c r="K31" s="721"/>
      <c r="L31" s="721"/>
      <c r="M31" s="721"/>
      <c r="N31" s="721"/>
      <c r="O31" s="721"/>
      <c r="P31" s="722" t="str">
        <f>IFERROR(VLOOKUP(C31,WholeTable,28,FALSE),"")</f>
        <v>Max cuff volume: 4 mL</v>
      </c>
      <c r="Q31" s="722"/>
      <c r="R31" s="722"/>
      <c r="S31" s="722"/>
      <c r="T31" s="722"/>
      <c r="U31" s="722"/>
      <c r="V31" s="722"/>
      <c r="W31" s="490"/>
      <c r="X31" s="693"/>
      <c r="Z31" s="480"/>
      <c r="AA31" s="720" t="str">
        <f>IFERROR(Admin!K31,"")</f>
        <v>Cardiac drugs</v>
      </c>
      <c r="AB31" s="720"/>
      <c r="AC31" s="720"/>
      <c r="AD31" s="720"/>
      <c r="AE31" s="720"/>
      <c r="AF31" s="720"/>
      <c r="AG31" s="720"/>
      <c r="AH31" s="721" t="str">
        <f>IFERROR(VLOOKUP(AA31,WholeTable,26,FALSE),"")</f>
        <v>Cardiac drugs</v>
      </c>
      <c r="AI31" s="721"/>
      <c r="AJ31" s="721"/>
      <c r="AK31" s="721"/>
      <c r="AL31" s="721"/>
      <c r="AM31" s="721"/>
      <c r="AN31" s="722">
        <f>IFERROR(VLOOKUP(AA31,WholeTable,28,FALSE),"")</f>
        <v>0</v>
      </c>
      <c r="AO31" s="722"/>
      <c r="AP31" s="722"/>
      <c r="AQ31" s="722"/>
      <c r="AR31" s="722"/>
      <c r="AS31" s="722"/>
      <c r="AT31" s="722"/>
      <c r="AU31" s="482"/>
      <c r="AV31" s="693"/>
    </row>
    <row r="32" spans="2:48" ht="15" customHeight="1" x14ac:dyDescent="0.2">
      <c r="B32" s="480"/>
      <c r="C32" s="723">
        <f>IFERROR(VLOOKUP(C31,WholeTable,27,FALSE),"")</f>
        <v>0</v>
      </c>
      <c r="D32" s="723"/>
      <c r="E32" s="723"/>
      <c r="F32" s="723"/>
      <c r="G32" s="723"/>
      <c r="H32" s="723"/>
      <c r="I32" s="723"/>
      <c r="J32" s="721"/>
      <c r="K32" s="721"/>
      <c r="L32" s="721"/>
      <c r="M32" s="721"/>
      <c r="N32" s="721"/>
      <c r="O32" s="721"/>
      <c r="P32" s="724">
        <f>IFERROR(VLOOKUP(C31,WholeTable,29,FALSE),"")</f>
        <v>0</v>
      </c>
      <c r="Q32" s="724"/>
      <c r="R32" s="724"/>
      <c r="S32" s="724"/>
      <c r="T32" s="724"/>
      <c r="U32" s="724"/>
      <c r="V32" s="724"/>
      <c r="W32" s="490"/>
      <c r="X32" s="693"/>
      <c r="Z32" s="480"/>
      <c r="AA32" s="723">
        <f>IFERROR(VLOOKUP(AA31,WholeTable,27,FALSE),"")</f>
        <v>0</v>
      </c>
      <c r="AB32" s="723"/>
      <c r="AC32" s="723"/>
      <c r="AD32" s="723"/>
      <c r="AE32" s="723"/>
      <c r="AF32" s="723"/>
      <c r="AG32" s="723"/>
      <c r="AH32" s="721"/>
      <c r="AI32" s="721"/>
      <c r="AJ32" s="721"/>
      <c r="AK32" s="721"/>
      <c r="AL32" s="721"/>
      <c r="AM32" s="721"/>
      <c r="AN32" s="724">
        <f>IFERROR(VLOOKUP(AA31,WholeTable,29,FALSE),"")</f>
        <v>0</v>
      </c>
      <c r="AO32" s="724"/>
      <c r="AP32" s="724"/>
      <c r="AQ32" s="724"/>
      <c r="AR32" s="724"/>
      <c r="AS32" s="724"/>
      <c r="AT32" s="724"/>
      <c r="AU32" s="482"/>
      <c r="AV32" s="693"/>
    </row>
    <row r="33" spans="2:48" ht="15" customHeight="1" x14ac:dyDescent="0.2">
      <c r="B33" s="480"/>
      <c r="C33" s="720" t="str">
        <f>IFERROR(Admin!C33,"")</f>
        <v>Laryngoscope Size (Direct/CMAC)</v>
      </c>
      <c r="D33" s="720"/>
      <c r="E33" s="720"/>
      <c r="F33" s="720"/>
      <c r="G33" s="720"/>
      <c r="H33" s="720"/>
      <c r="I33" s="720"/>
      <c r="J33" s="721" t="str">
        <f>IFERROR(VLOOKUP(C33,WholeTable,26,FALSE),"")</f>
        <v>Miller 0 (or Mac 0)</v>
      </c>
      <c r="K33" s="721"/>
      <c r="L33" s="721"/>
      <c r="M33" s="721"/>
      <c r="N33" s="721"/>
      <c r="O33" s="721"/>
      <c r="P33" s="722">
        <f>IFERROR(VLOOKUP(C33,WholeTable,28,FALSE),"")</f>
        <v>0</v>
      </c>
      <c r="Q33" s="722"/>
      <c r="R33" s="722"/>
      <c r="S33" s="722"/>
      <c r="T33" s="722"/>
      <c r="U33" s="722"/>
      <c r="V33" s="722"/>
      <c r="W33" s="490"/>
      <c r="X33" s="693"/>
      <c r="Z33" s="480"/>
      <c r="AA33" s="720" t="str">
        <f>IFERROR(Admin!K33,"")</f>
        <v>Adenosine [all doses] (6mg/2mL)</v>
      </c>
      <c r="AB33" s="720"/>
      <c r="AC33" s="720"/>
      <c r="AD33" s="720"/>
      <c r="AE33" s="720"/>
      <c r="AF33" s="720"/>
      <c r="AG33" s="720"/>
      <c r="AH33" s="721" t="str">
        <f>IFERROR(VLOOKUP(AA33,WholeTable,26,FALSE),"")</f>
        <v>0.12 mL → 0.23 mL → 0.35 mL</v>
      </c>
      <c r="AI33" s="721"/>
      <c r="AJ33" s="721"/>
      <c r="AK33" s="721"/>
      <c r="AL33" s="721"/>
      <c r="AM33" s="721"/>
      <c r="AN33" s="722" t="str">
        <f>IFERROR(VLOOKUP(AA33,WholeTable,28,FALSE),"")</f>
        <v>[0.1mg/kg=0.35mg] → [0.2mg/kg=0.7mg]</v>
      </c>
      <c r="AO33" s="722"/>
      <c r="AP33" s="722"/>
      <c r="AQ33" s="722"/>
      <c r="AR33" s="722"/>
      <c r="AS33" s="722"/>
      <c r="AT33" s="722"/>
      <c r="AU33" s="482"/>
      <c r="AV33" s="693"/>
    </row>
    <row r="34" spans="2:48" ht="15" customHeight="1" x14ac:dyDescent="0.2">
      <c r="B34" s="480"/>
      <c r="C34" s="723">
        <f>IFERROR(VLOOKUP(C33,WholeTable,27,FALSE),"")</f>
        <v>0</v>
      </c>
      <c r="D34" s="723"/>
      <c r="E34" s="723"/>
      <c r="F34" s="723"/>
      <c r="G34" s="723"/>
      <c r="H34" s="723"/>
      <c r="I34" s="723"/>
      <c r="J34" s="721"/>
      <c r="K34" s="721"/>
      <c r="L34" s="721"/>
      <c r="M34" s="721"/>
      <c r="N34" s="721"/>
      <c r="O34" s="721"/>
      <c r="P34" s="724">
        <f>IFERROR(VLOOKUP(C33,WholeTable,29,FALSE),"")</f>
        <v>0</v>
      </c>
      <c r="Q34" s="724"/>
      <c r="R34" s="724"/>
      <c r="S34" s="724"/>
      <c r="T34" s="724"/>
      <c r="U34" s="724"/>
      <c r="V34" s="724"/>
      <c r="W34" s="490"/>
      <c r="X34" s="693"/>
      <c r="Z34" s="480"/>
      <c r="AA34" s="723" t="str">
        <f>IFERROR(VLOOKUP(AA33,WholeTable,27,FALSE),"")</f>
        <v>for supraventricular tachycardia</v>
      </c>
      <c r="AB34" s="723"/>
      <c r="AC34" s="723"/>
      <c r="AD34" s="723"/>
      <c r="AE34" s="723"/>
      <c r="AF34" s="723"/>
      <c r="AG34" s="723"/>
      <c r="AH34" s="721"/>
      <c r="AI34" s="721"/>
      <c r="AJ34" s="721"/>
      <c r="AK34" s="721"/>
      <c r="AL34" s="721"/>
      <c r="AM34" s="721"/>
      <c r="AN34" s="724" t="str">
        <f>IFERROR(VLOOKUP(AA33,WholeTable,29,FALSE),"")</f>
        <v>→ [0.3mg/kg=1.05mg], max = 12 mg</v>
      </c>
      <c r="AO34" s="724"/>
      <c r="AP34" s="724"/>
      <c r="AQ34" s="724"/>
      <c r="AR34" s="724"/>
      <c r="AS34" s="724"/>
      <c r="AT34" s="724"/>
      <c r="AU34" s="482"/>
      <c r="AV34" s="693"/>
    </row>
    <row r="35" spans="2:48" ht="15" customHeight="1" x14ac:dyDescent="0.2">
      <c r="B35" s="480"/>
      <c r="C35" s="720" t="str">
        <f>IFERROR(Admin!C35,"")</f>
        <v>Fentanyl (100mcg/2mL)</v>
      </c>
      <c r="D35" s="720"/>
      <c r="E35" s="720"/>
      <c r="F35" s="720"/>
      <c r="G35" s="720"/>
      <c r="H35" s="720"/>
      <c r="I35" s="720"/>
      <c r="J35" s="721" t="str">
        <f>IFERROR(VLOOKUP(C35,WholeTable,26,FALSE),"")</f>
        <v>0.1 - 0.4 mL</v>
      </c>
      <c r="K35" s="721"/>
      <c r="L35" s="721"/>
      <c r="M35" s="721"/>
      <c r="N35" s="721"/>
      <c r="O35" s="721"/>
      <c r="P35" s="722" t="str">
        <f>IFERROR(VLOOKUP(C35,WholeTable,28,FALSE),"")</f>
        <v>2-5 mcg/kg = 7 - 17.5 micrograms</v>
      </c>
      <c r="Q35" s="722"/>
      <c r="R35" s="722"/>
      <c r="S35" s="722"/>
      <c r="T35" s="722"/>
      <c r="U35" s="722"/>
      <c r="V35" s="722"/>
      <c r="W35" s="490"/>
      <c r="X35" s="693"/>
      <c r="Z35" s="480"/>
      <c r="AA35" s="720" t="str">
        <f>IFERROR(Admin!K35,"")</f>
        <v>Trauma</v>
      </c>
      <c r="AB35" s="720"/>
      <c r="AC35" s="720"/>
      <c r="AD35" s="720"/>
      <c r="AE35" s="720"/>
      <c r="AF35" s="720"/>
      <c r="AG35" s="720"/>
      <c r="AH35" s="721" t="str">
        <f>IFERROR(VLOOKUP(AA35,WholeTable,26,FALSE),"")</f>
        <v>Trauma</v>
      </c>
      <c r="AI35" s="721"/>
      <c r="AJ35" s="721"/>
      <c r="AK35" s="721"/>
      <c r="AL35" s="721"/>
      <c r="AM35" s="721"/>
      <c r="AN35" s="722">
        <f>IFERROR(VLOOKUP(AA35,WholeTable,28,FALSE),"")</f>
        <v>0</v>
      </c>
      <c r="AO35" s="722"/>
      <c r="AP35" s="722"/>
      <c r="AQ35" s="722"/>
      <c r="AR35" s="722"/>
      <c r="AS35" s="722"/>
      <c r="AT35" s="722"/>
      <c r="AU35" s="482"/>
      <c r="AV35" s="693"/>
    </row>
    <row r="36" spans="2:48" ht="15" customHeight="1" x14ac:dyDescent="0.2">
      <c r="B36" s="480"/>
      <c r="C36" s="723" t="str">
        <f>IFERROR(VLOOKUP(C35,WholeTable,27,FALSE),"")</f>
        <v>for intubation, not analgesia</v>
      </c>
      <c r="D36" s="723"/>
      <c r="E36" s="723"/>
      <c r="F36" s="723"/>
      <c r="G36" s="723"/>
      <c r="H36" s="723"/>
      <c r="I36" s="723"/>
      <c r="J36" s="721"/>
      <c r="K36" s="721"/>
      <c r="L36" s="721"/>
      <c r="M36" s="721"/>
      <c r="N36" s="721"/>
      <c r="O36" s="721"/>
      <c r="P36" s="724" t="str">
        <f>IFERROR(VLOOKUP(C35,WholeTable,29,FALSE),"")</f>
        <v>max = 500 micrograms</v>
      </c>
      <c r="Q36" s="724"/>
      <c r="R36" s="724"/>
      <c r="S36" s="724"/>
      <c r="T36" s="724"/>
      <c r="U36" s="724"/>
      <c r="V36" s="724"/>
      <c r="W36" s="490"/>
      <c r="X36" s="693"/>
      <c r="Z36" s="480"/>
      <c r="AA36" s="723">
        <f>IFERROR(VLOOKUP(AA35,WholeTable,27,FALSE),"")</f>
        <v>0</v>
      </c>
      <c r="AB36" s="723"/>
      <c r="AC36" s="723"/>
      <c r="AD36" s="723"/>
      <c r="AE36" s="723"/>
      <c r="AF36" s="723"/>
      <c r="AG36" s="723"/>
      <c r="AH36" s="721"/>
      <c r="AI36" s="721"/>
      <c r="AJ36" s="721"/>
      <c r="AK36" s="721"/>
      <c r="AL36" s="721"/>
      <c r="AM36" s="721"/>
      <c r="AN36" s="724">
        <f>IFERROR(VLOOKUP(AA35,WholeTable,29,FALSE),"")</f>
        <v>0</v>
      </c>
      <c r="AO36" s="724"/>
      <c r="AP36" s="724"/>
      <c r="AQ36" s="724"/>
      <c r="AR36" s="724"/>
      <c r="AS36" s="724"/>
      <c r="AT36" s="724"/>
      <c r="AU36" s="482"/>
      <c r="AV36" s="693"/>
    </row>
    <row r="37" spans="2:48" ht="15" customHeight="1" x14ac:dyDescent="0.2">
      <c r="B37" s="480"/>
      <c r="C37" s="720" t="str">
        <f>IFERROR(Admin!C37,"")</f>
        <v>Ketamine Prefilled Syringe</v>
      </c>
      <c r="D37" s="720"/>
      <c r="E37" s="720"/>
      <c r="F37" s="720"/>
      <c r="G37" s="720"/>
      <c r="H37" s="720"/>
      <c r="I37" s="720"/>
      <c r="J37" s="721" t="str">
        <f>IFERROR(VLOOKUP(C37,WholeTable,26,FALSE),"")</f>
        <v>0.4 - 0.7 mL</v>
      </c>
      <c r="K37" s="721"/>
      <c r="L37" s="721"/>
      <c r="M37" s="721"/>
      <c r="N37" s="721"/>
      <c r="O37" s="721"/>
      <c r="P37" s="722" t="str">
        <f>IFERROR(VLOOKUP(C37,WholeTable,28,FALSE),"")</f>
        <v>1-2 mg/kg = 3.5 - 7 mg</v>
      </c>
      <c r="Q37" s="722"/>
      <c r="R37" s="722"/>
      <c r="S37" s="722"/>
      <c r="T37" s="722"/>
      <c r="U37" s="722"/>
      <c r="V37" s="722"/>
      <c r="W37" s="490"/>
      <c r="X37" s="693"/>
      <c r="Z37" s="480"/>
      <c r="AA37" s="720" t="str">
        <f>IFERROR(Admin!K37,"")</f>
        <v>Red Blood Cells</v>
      </c>
      <c r="AB37" s="720"/>
      <c r="AC37" s="720"/>
      <c r="AD37" s="720"/>
      <c r="AE37" s="720"/>
      <c r="AF37" s="720"/>
      <c r="AG37" s="720"/>
      <c r="AH37" s="721" t="str">
        <f>IFERROR(VLOOKUP(AA37,WholeTable,26,FALSE),"")</f>
        <v>35 - 53 mL</v>
      </c>
      <c r="AI37" s="721"/>
      <c r="AJ37" s="721"/>
      <c r="AK37" s="721"/>
      <c r="AL37" s="721"/>
      <c r="AM37" s="721"/>
      <c r="AN37" s="722" t="str">
        <f>IFERROR(VLOOKUP(AA37,WholeTable,28,FALSE),"")</f>
        <v>10-15 mL/kg = 35 - 53 mL</v>
      </c>
      <c r="AO37" s="722"/>
      <c r="AP37" s="722"/>
      <c r="AQ37" s="722"/>
      <c r="AR37" s="722"/>
      <c r="AS37" s="722"/>
      <c r="AT37" s="722"/>
      <c r="AU37" s="482"/>
      <c r="AV37" s="693"/>
    </row>
    <row r="38" spans="2:48" ht="15" customHeight="1" x14ac:dyDescent="0.2">
      <c r="B38" s="480"/>
      <c r="C38" s="723" t="str">
        <f>IFERROR(VLOOKUP(C37,WholeTable,27,FALSE),"")</f>
        <v>(100mg/10mL)</v>
      </c>
      <c r="D38" s="723"/>
      <c r="E38" s="723"/>
      <c r="F38" s="723"/>
      <c r="G38" s="723"/>
      <c r="H38" s="723"/>
      <c r="I38" s="723"/>
      <c r="J38" s="721"/>
      <c r="K38" s="721"/>
      <c r="L38" s="721"/>
      <c r="M38" s="721"/>
      <c r="N38" s="721"/>
      <c r="O38" s="721"/>
      <c r="P38" s="724" t="str">
        <f>IFERROR(VLOOKUP(C37,WholeTable,29,FALSE),"")</f>
        <v>max = 200 mg</v>
      </c>
      <c r="Q38" s="724"/>
      <c r="R38" s="724"/>
      <c r="S38" s="724"/>
      <c r="T38" s="724"/>
      <c r="U38" s="724"/>
      <c r="V38" s="724"/>
      <c r="W38" s="490"/>
      <c r="X38" s="693"/>
      <c r="Z38" s="480"/>
      <c r="AA38" s="723">
        <f>IFERROR(VLOOKUP(AA37,WholeTable,27,FALSE),"")</f>
        <v>0</v>
      </c>
      <c r="AB38" s="723"/>
      <c r="AC38" s="723"/>
      <c r="AD38" s="723"/>
      <c r="AE38" s="723"/>
      <c r="AF38" s="723"/>
      <c r="AG38" s="723"/>
      <c r="AH38" s="721"/>
      <c r="AI38" s="721"/>
      <c r="AJ38" s="721"/>
      <c r="AK38" s="721"/>
      <c r="AL38" s="721"/>
      <c r="AM38" s="721"/>
      <c r="AN38" s="724">
        <f>IFERROR(VLOOKUP(AA37,WholeTable,29,FALSE),"")</f>
        <v>0</v>
      </c>
      <c r="AO38" s="724"/>
      <c r="AP38" s="724"/>
      <c r="AQ38" s="724"/>
      <c r="AR38" s="724"/>
      <c r="AS38" s="724"/>
      <c r="AT38" s="724"/>
      <c r="AU38" s="482"/>
      <c r="AV38" s="693"/>
    </row>
    <row r="39" spans="2:48" ht="15" customHeight="1" x14ac:dyDescent="0.2">
      <c r="B39" s="480"/>
      <c r="C39" s="720" t="str">
        <f>IFERROR(Admin!C39,"")</f>
        <v>Propofol (200mg/20mL)</v>
      </c>
      <c r="D39" s="720"/>
      <c r="E39" s="720"/>
      <c r="F39" s="720"/>
      <c r="G39" s="720"/>
      <c r="H39" s="720"/>
      <c r="I39" s="720"/>
      <c r="J39" s="721" t="str">
        <f>IFERROR(VLOOKUP(C39,WholeTable,26,FALSE),"")</f>
        <v>0.4 - 1.1 mL</v>
      </c>
      <c r="K39" s="721"/>
      <c r="L39" s="721"/>
      <c r="M39" s="721"/>
      <c r="N39" s="721"/>
      <c r="O39" s="721"/>
      <c r="P39" s="722" t="str">
        <f>IFERROR(VLOOKUP(C39,WholeTable,28,FALSE),"")</f>
        <v>1-3 mg/kg = 3.5 - 10.5 mg</v>
      </c>
      <c r="Q39" s="722"/>
      <c r="R39" s="722"/>
      <c r="S39" s="722"/>
      <c r="T39" s="722"/>
      <c r="U39" s="722"/>
      <c r="V39" s="722"/>
      <c r="W39" s="490"/>
      <c r="X39" s="693"/>
      <c r="Z39" s="480"/>
      <c r="AA39" s="720" t="str">
        <f>IFERROR(Admin!K39,"")</f>
        <v>Tranexamic acid IV (500mg/5mL)</v>
      </c>
      <c r="AB39" s="720"/>
      <c r="AC39" s="720"/>
      <c r="AD39" s="720"/>
      <c r="AE39" s="720"/>
      <c r="AF39" s="720"/>
      <c r="AG39" s="720"/>
      <c r="AH39" s="721" t="str">
        <f>IFERROR(VLOOKUP(AA39,WholeTable,26,FALSE),"")</f>
        <v>0.53 mL</v>
      </c>
      <c r="AI39" s="721"/>
      <c r="AJ39" s="721"/>
      <c r="AK39" s="721"/>
      <c r="AL39" s="721"/>
      <c r="AM39" s="721"/>
      <c r="AN39" s="722" t="str">
        <f>IFERROR(VLOOKUP(AA39,WholeTable,28,FALSE),"")</f>
        <v>15 mg/kg = 52.5 mg</v>
      </c>
      <c r="AO39" s="722"/>
      <c r="AP39" s="722"/>
      <c r="AQ39" s="722"/>
      <c r="AR39" s="722"/>
      <c r="AS39" s="722"/>
      <c r="AT39" s="722"/>
      <c r="AU39" s="482"/>
      <c r="AV39" s="693"/>
    </row>
    <row r="40" spans="2:48" ht="15" customHeight="1" x14ac:dyDescent="0.2">
      <c r="B40" s="480"/>
      <c r="C40" s="723" t="str">
        <f>IFERROR(VLOOKUP(C39,WholeTable,27,FALSE),"")</f>
        <v>do not use if shocked</v>
      </c>
      <c r="D40" s="723"/>
      <c r="E40" s="723"/>
      <c r="F40" s="723"/>
      <c r="G40" s="723"/>
      <c r="H40" s="723"/>
      <c r="I40" s="723"/>
      <c r="J40" s="721"/>
      <c r="K40" s="721"/>
      <c r="L40" s="721"/>
      <c r="M40" s="721"/>
      <c r="N40" s="721"/>
      <c r="O40" s="721"/>
      <c r="P40" s="724" t="str">
        <f>IFERROR(VLOOKUP(C39,WholeTable,29,FALSE),"")</f>
        <v>max = 200 mg</v>
      </c>
      <c r="Q40" s="724"/>
      <c r="R40" s="724"/>
      <c r="S40" s="724"/>
      <c r="T40" s="724"/>
      <c r="U40" s="724"/>
      <c r="V40" s="724"/>
      <c r="W40" s="490"/>
      <c r="X40" s="693"/>
      <c r="Z40" s="480"/>
      <c r="AA40" s="723" t="str">
        <f>IFERROR(VLOOKUP(AA39,WholeTable,27,FALSE),"")</f>
        <v>for bleeding</v>
      </c>
      <c r="AB40" s="723"/>
      <c r="AC40" s="723"/>
      <c r="AD40" s="723"/>
      <c r="AE40" s="723"/>
      <c r="AF40" s="723"/>
      <c r="AG40" s="723"/>
      <c r="AH40" s="721"/>
      <c r="AI40" s="721"/>
      <c r="AJ40" s="721"/>
      <c r="AK40" s="721"/>
      <c r="AL40" s="721"/>
      <c r="AM40" s="721"/>
      <c r="AN40" s="724" t="str">
        <f>IFERROR(VLOOKUP(AA39,WholeTable,29,FALSE),"")</f>
        <v>max = 1000 mg</v>
      </c>
      <c r="AO40" s="724"/>
      <c r="AP40" s="724"/>
      <c r="AQ40" s="724"/>
      <c r="AR40" s="724"/>
      <c r="AS40" s="724"/>
      <c r="AT40" s="724"/>
      <c r="AU40" s="482"/>
      <c r="AV40" s="693"/>
    </row>
    <row r="41" spans="2:48" ht="15" customHeight="1" x14ac:dyDescent="0.2">
      <c r="B41" s="480"/>
      <c r="C41" s="720" t="str">
        <f>IFERROR(Admin!C41,"")</f>
        <v>Rocuronium (50mg/5mL)</v>
      </c>
      <c r="D41" s="720"/>
      <c r="E41" s="720"/>
      <c r="F41" s="720"/>
      <c r="G41" s="720"/>
      <c r="H41" s="720"/>
      <c r="I41" s="720"/>
      <c r="J41" s="721" t="str">
        <f>IFERROR(VLOOKUP(C41,WholeTable,26,FALSE),"")</f>
        <v>0.2 - 0.4 mL</v>
      </c>
      <c r="K41" s="721"/>
      <c r="L41" s="721"/>
      <c r="M41" s="721"/>
      <c r="N41" s="721"/>
      <c r="O41" s="721"/>
      <c r="P41" s="722" t="str">
        <f>IFERROR(VLOOKUP(C41,WholeTable,28,FALSE),"")</f>
        <v>0.6-1.2 mg/kg = 2.1 - 4.2 mg</v>
      </c>
      <c r="Q41" s="722"/>
      <c r="R41" s="722"/>
      <c r="S41" s="722"/>
      <c r="T41" s="722"/>
      <c r="U41" s="722"/>
      <c r="V41" s="722"/>
      <c r="W41" s="490"/>
      <c r="X41" s="693"/>
      <c r="Z41" s="480"/>
      <c r="AA41" s="720" t="str">
        <f>IFERROR(Admin!K41,"")</f>
        <v>3% Saline</v>
      </c>
      <c r="AB41" s="720"/>
      <c r="AC41" s="720"/>
      <c r="AD41" s="720"/>
      <c r="AE41" s="720"/>
      <c r="AF41" s="720"/>
      <c r="AG41" s="720"/>
      <c r="AH41" s="721" t="str">
        <f>IFERROR(VLOOKUP(AA41,WholeTable,26,FALSE),"")</f>
        <v>11 mL</v>
      </c>
      <c r="AI41" s="721"/>
      <c r="AJ41" s="721"/>
      <c r="AK41" s="721"/>
      <c r="AL41" s="721"/>
      <c r="AM41" s="721"/>
      <c r="AN41" s="722" t="str">
        <f>IFERROR(VLOOKUP(AA41,WholeTable,28,FALSE),"")</f>
        <v xml:space="preserve"> 3 ml/kg = 10.5 mL</v>
      </c>
      <c r="AO41" s="722"/>
      <c r="AP41" s="722"/>
      <c r="AQ41" s="722"/>
      <c r="AR41" s="722"/>
      <c r="AS41" s="722"/>
      <c r="AT41" s="722"/>
      <c r="AU41" s="482"/>
      <c r="AV41" s="693"/>
    </row>
    <row r="42" spans="2:48" ht="15" customHeight="1" x14ac:dyDescent="0.2">
      <c r="B42" s="480"/>
      <c r="C42" s="723">
        <f>IFERROR(VLOOKUP(C41,WholeTable,27,FALSE),"")</f>
        <v>0</v>
      </c>
      <c r="D42" s="723"/>
      <c r="E42" s="723"/>
      <c r="F42" s="723"/>
      <c r="G42" s="723"/>
      <c r="H42" s="723"/>
      <c r="I42" s="723"/>
      <c r="J42" s="721"/>
      <c r="K42" s="721"/>
      <c r="L42" s="721"/>
      <c r="M42" s="721"/>
      <c r="N42" s="721"/>
      <c r="O42" s="721"/>
      <c r="P42" s="724" t="str">
        <f>IFERROR(VLOOKUP(C41,WholeTable,29,FALSE),"")</f>
        <v>max = 200 mg</v>
      </c>
      <c r="Q42" s="724"/>
      <c r="R42" s="724"/>
      <c r="S42" s="724"/>
      <c r="T42" s="724"/>
      <c r="U42" s="724"/>
      <c r="V42" s="724"/>
      <c r="W42" s="490"/>
      <c r="X42" s="693"/>
      <c r="Z42" s="480"/>
      <c r="AA42" s="723" t="str">
        <f>IFERROR(VLOOKUP(AA41,WholeTable,27,FALSE),"")</f>
        <v>for raised ICP or hyponatraemic seizure</v>
      </c>
      <c r="AB42" s="723"/>
      <c r="AC42" s="723"/>
      <c r="AD42" s="723"/>
      <c r="AE42" s="723"/>
      <c r="AF42" s="723"/>
      <c r="AG42" s="723"/>
      <c r="AH42" s="721"/>
      <c r="AI42" s="721"/>
      <c r="AJ42" s="721"/>
      <c r="AK42" s="721"/>
      <c r="AL42" s="721"/>
      <c r="AM42" s="721"/>
      <c r="AN42" s="724" t="str">
        <f>IFERROR(VLOOKUP(AA41,WholeTable,29,FALSE),"")</f>
        <v>Repeat if required</v>
      </c>
      <c r="AO42" s="724"/>
      <c r="AP42" s="724"/>
      <c r="AQ42" s="724"/>
      <c r="AR42" s="724"/>
      <c r="AS42" s="724"/>
      <c r="AT42" s="724"/>
      <c r="AU42" s="482"/>
      <c r="AV42" s="693"/>
    </row>
    <row r="43" spans="2:48" ht="15" customHeight="1" x14ac:dyDescent="0.2">
      <c r="B43" s="480"/>
      <c r="C43" s="720" t="str">
        <f>IFERROR(Admin!C43,"")</f>
        <v>Suxamethonium IV (100mg/2mL)</v>
      </c>
      <c r="D43" s="720"/>
      <c r="E43" s="720"/>
      <c r="F43" s="720"/>
      <c r="G43" s="720"/>
      <c r="H43" s="720"/>
      <c r="I43" s="720"/>
      <c r="J43" s="721" t="str">
        <f>IFERROR(VLOOKUP(C43,WholeTable,26,FALSE),"")</f>
        <v>0.14 mL</v>
      </c>
      <c r="K43" s="721"/>
      <c r="L43" s="721"/>
      <c r="M43" s="721"/>
      <c r="N43" s="721"/>
      <c r="O43" s="721"/>
      <c r="P43" s="722" t="str">
        <f>IFERROR(VLOOKUP(C43,WholeTable,28,FALSE),"")</f>
        <v>2 mg/kg = 7 mg</v>
      </c>
      <c r="Q43" s="722"/>
      <c r="R43" s="722"/>
      <c r="S43" s="722"/>
      <c r="T43" s="722"/>
      <c r="U43" s="722"/>
      <c r="V43" s="722"/>
      <c r="W43" s="490"/>
      <c r="X43" s="693"/>
      <c r="Z43" s="480"/>
      <c r="AA43" s="720" t="str">
        <f>IFERROR(Admin!K43,"")</f>
        <v>Infusions</v>
      </c>
      <c r="AB43" s="720"/>
      <c r="AC43" s="720"/>
      <c r="AD43" s="720"/>
      <c r="AE43" s="720"/>
      <c r="AF43" s="720"/>
      <c r="AG43" s="720"/>
      <c r="AH43" s="721" t="str">
        <f>IFERROR(VLOOKUP(AA43,WholeTable,26,FALSE),"")</f>
        <v>Infusions</v>
      </c>
      <c r="AI43" s="721"/>
      <c r="AJ43" s="721"/>
      <c r="AK43" s="721"/>
      <c r="AL43" s="721"/>
      <c r="AM43" s="721"/>
      <c r="AN43" s="722">
        <f>IFERROR(VLOOKUP(AA43,WholeTable,28,FALSE),"")</f>
        <v>0</v>
      </c>
      <c r="AO43" s="722"/>
      <c r="AP43" s="722"/>
      <c r="AQ43" s="722"/>
      <c r="AR43" s="722"/>
      <c r="AS43" s="722"/>
      <c r="AT43" s="722"/>
      <c r="AU43" s="482"/>
      <c r="AV43" s="693"/>
    </row>
    <row r="44" spans="2:48" ht="15" customHeight="1" x14ac:dyDescent="0.2">
      <c r="B44" s="480"/>
      <c r="C44" s="723">
        <f>IFERROR(VLOOKUP(C43,WholeTable,27,FALSE),"")</f>
        <v>0</v>
      </c>
      <c r="D44" s="723"/>
      <c r="E44" s="723"/>
      <c r="F44" s="723"/>
      <c r="G44" s="723"/>
      <c r="H44" s="723"/>
      <c r="I44" s="723"/>
      <c r="J44" s="721"/>
      <c r="K44" s="721"/>
      <c r="L44" s="721"/>
      <c r="M44" s="721"/>
      <c r="N44" s="721"/>
      <c r="O44" s="721"/>
      <c r="P44" s="724" t="str">
        <f>IFERROR(VLOOKUP(C43,WholeTable,29,FALSE),"")</f>
        <v>max = 100 mg</v>
      </c>
      <c r="Q44" s="724"/>
      <c r="R44" s="724"/>
      <c r="S44" s="724"/>
      <c r="T44" s="724"/>
      <c r="U44" s="724"/>
      <c r="V44" s="724"/>
      <c r="W44" s="490"/>
      <c r="X44" s="693"/>
      <c r="Z44" s="480"/>
      <c r="AA44" s="723">
        <f>IFERROR(VLOOKUP(AA43,WholeTable,27,FALSE),"")</f>
        <v>0</v>
      </c>
      <c r="AB44" s="723"/>
      <c r="AC44" s="723"/>
      <c r="AD44" s="723"/>
      <c r="AE44" s="723"/>
      <c r="AF44" s="723"/>
      <c r="AG44" s="723"/>
      <c r="AH44" s="721"/>
      <c r="AI44" s="721"/>
      <c r="AJ44" s="721"/>
      <c r="AK44" s="721"/>
      <c r="AL44" s="721"/>
      <c r="AM44" s="721"/>
      <c r="AN44" s="724">
        <f>IFERROR(VLOOKUP(AA43,WholeTable,29,FALSE),"")</f>
        <v>0</v>
      </c>
      <c r="AO44" s="724"/>
      <c r="AP44" s="724"/>
      <c r="AQ44" s="724"/>
      <c r="AR44" s="724"/>
      <c r="AS44" s="724"/>
      <c r="AT44" s="724"/>
      <c r="AU44" s="482"/>
      <c r="AV44" s="693"/>
    </row>
    <row r="45" spans="2:48" ht="15" customHeight="1" x14ac:dyDescent="0.2">
      <c r="B45" s="480"/>
      <c r="C45" s="720" t="str">
        <f>IFERROR(Admin!C45,"")</f>
        <v>Hypotension and shock</v>
      </c>
      <c r="D45" s="720"/>
      <c r="E45" s="720"/>
      <c r="F45" s="720"/>
      <c r="G45" s="720"/>
      <c r="H45" s="720"/>
      <c r="I45" s="720"/>
      <c r="J45" s="721" t="str">
        <f>IFERROR(VLOOKUP(C45,WholeTable,26,FALSE),"")</f>
        <v>Hypotension and shock</v>
      </c>
      <c r="K45" s="721"/>
      <c r="L45" s="721"/>
      <c r="M45" s="721"/>
      <c r="N45" s="721"/>
      <c r="O45" s="721"/>
      <c r="P45" s="722">
        <f>IFERROR(VLOOKUP(C45,WholeTable,28,FALSE),"")</f>
        <v>0</v>
      </c>
      <c r="Q45" s="722"/>
      <c r="R45" s="722"/>
      <c r="S45" s="722"/>
      <c r="T45" s="722"/>
      <c r="U45" s="722"/>
      <c r="V45" s="722"/>
      <c r="W45" s="490"/>
      <c r="X45" s="693"/>
      <c r="Z45" s="480"/>
      <c r="AA45" s="720" t="str">
        <f>IFERROR(Admin!K45,"")</f>
        <v>Metaraminol (Infusion)</v>
      </c>
      <c r="AB45" s="720"/>
      <c r="AC45" s="720"/>
      <c r="AD45" s="720"/>
      <c r="AE45" s="720"/>
      <c r="AF45" s="720"/>
      <c r="AG45" s="720"/>
      <c r="AH45" s="721" t="str">
        <f>IFERROR(VLOOKUP(AA45,WholeTable,26,FALSE),"")</f>
        <v>1 - 10 mL/hr</v>
      </c>
      <c r="AI45" s="721"/>
      <c r="AJ45" s="721"/>
      <c r="AK45" s="721"/>
      <c r="AL45" s="721"/>
      <c r="AM45" s="721"/>
      <c r="AN45" s="722" t="str">
        <f>IFERROR(VLOOKUP(AA45,WholeTable,28,FALSE),"")</f>
        <v>1ml/hr = 0.05 micrograms/kg/min</v>
      </c>
      <c r="AO45" s="722"/>
      <c r="AP45" s="722"/>
      <c r="AQ45" s="722"/>
      <c r="AR45" s="722"/>
      <c r="AS45" s="722"/>
      <c r="AT45" s="722"/>
      <c r="AU45" s="482"/>
      <c r="AV45" s="693"/>
    </row>
    <row r="46" spans="2:48" ht="15" customHeight="1" x14ac:dyDescent="0.2">
      <c r="B46" s="480"/>
      <c r="C46" s="723">
        <f>IFERROR(VLOOKUP(C45,WholeTable,27,FALSE),"")</f>
        <v>0</v>
      </c>
      <c r="D46" s="723"/>
      <c r="E46" s="723"/>
      <c r="F46" s="723"/>
      <c r="G46" s="723"/>
      <c r="H46" s="723"/>
      <c r="I46" s="723"/>
      <c r="J46" s="721"/>
      <c r="K46" s="721"/>
      <c r="L46" s="721"/>
      <c r="M46" s="721"/>
      <c r="N46" s="721"/>
      <c r="O46" s="721"/>
      <c r="P46" s="724">
        <f>IFERROR(VLOOKUP(C45,WholeTable,29,FALSE),"")</f>
        <v>0</v>
      </c>
      <c r="Q46" s="724"/>
      <c r="R46" s="724"/>
      <c r="S46" s="724"/>
      <c r="T46" s="724"/>
      <c r="U46" s="724"/>
      <c r="V46" s="724"/>
      <c r="W46" s="490"/>
      <c r="X46" s="693"/>
      <c r="Z46" s="480"/>
      <c r="AA46" s="723" t="str">
        <f>IFERROR(VLOOKUP(AA45,WholeTable,27,FALSE),"")</f>
        <v>0.5 mg diluted to 50 mL</v>
      </c>
      <c r="AB46" s="723"/>
      <c r="AC46" s="723"/>
      <c r="AD46" s="723"/>
      <c r="AE46" s="723"/>
      <c r="AF46" s="723"/>
      <c r="AG46" s="723"/>
      <c r="AH46" s="721"/>
      <c r="AI46" s="721"/>
      <c r="AJ46" s="721"/>
      <c r="AK46" s="721"/>
      <c r="AL46" s="721"/>
      <c r="AM46" s="721"/>
      <c r="AN46" s="724" t="str">
        <f>IFERROR(VLOOKUP(AA45,WholeTable,29,FALSE),"")</f>
        <v>@0.05 - 0.5 micrograms/kg/min</v>
      </c>
      <c r="AO46" s="724"/>
      <c r="AP46" s="724"/>
      <c r="AQ46" s="724"/>
      <c r="AR46" s="724"/>
      <c r="AS46" s="724"/>
      <c r="AT46" s="724"/>
      <c r="AU46" s="482"/>
      <c r="AV46" s="693"/>
    </row>
    <row r="47" spans="2:48" ht="15" customHeight="1" x14ac:dyDescent="0.2">
      <c r="B47" s="480"/>
      <c r="C47" s="720" t="str">
        <f>IFERROR(Admin!C47,"")</f>
        <v>Fluid Bolus</v>
      </c>
      <c r="D47" s="720"/>
      <c r="E47" s="720"/>
      <c r="F47" s="720"/>
      <c r="G47" s="720"/>
      <c r="H47" s="720"/>
      <c r="I47" s="720"/>
      <c r="J47" s="721" t="str">
        <f>IFERROR(VLOOKUP(C47,WholeTable,26,FALSE),"")</f>
        <v>35 - 70 mL</v>
      </c>
      <c r="K47" s="721"/>
      <c r="L47" s="721"/>
      <c r="M47" s="721"/>
      <c r="N47" s="721"/>
      <c r="O47" s="721"/>
      <c r="P47" s="722" t="str">
        <f>IFERROR(VLOOKUP(C47,WholeTable,28,FALSE),"")</f>
        <v>10-20 mL/kg = 35 - 70 mL</v>
      </c>
      <c r="Q47" s="722"/>
      <c r="R47" s="722"/>
      <c r="S47" s="722"/>
      <c r="T47" s="722"/>
      <c r="U47" s="722"/>
      <c r="V47" s="722"/>
      <c r="W47" s="490"/>
      <c r="X47" s="693"/>
      <c r="Z47" s="480"/>
      <c r="AA47" s="720" t="str">
        <f>IFERROR(Admin!K47,"")</f>
        <v>Adrenaline/Noradrenaline (Low dose)</v>
      </c>
      <c r="AB47" s="720"/>
      <c r="AC47" s="720"/>
      <c r="AD47" s="720"/>
      <c r="AE47" s="720"/>
      <c r="AF47" s="720"/>
      <c r="AG47" s="720"/>
      <c r="AH47" s="721" t="str">
        <f>IFERROR(VLOOKUP(AA47,WholeTable,26,FALSE),"")</f>
        <v>0.2 - 20 mL/hr</v>
      </c>
      <c r="AI47" s="721"/>
      <c r="AJ47" s="721"/>
      <c r="AK47" s="721"/>
      <c r="AL47" s="721"/>
      <c r="AM47" s="721"/>
      <c r="AN47" s="722" t="str">
        <f>IFERROR(VLOOKUP(AA47,WholeTable,28,FALSE),"")</f>
        <v>1ml/hr = 0.05 micrograms/kg/min</v>
      </c>
      <c r="AO47" s="722"/>
      <c r="AP47" s="722"/>
      <c r="AQ47" s="722"/>
      <c r="AR47" s="722"/>
      <c r="AS47" s="722"/>
      <c r="AT47" s="722"/>
      <c r="AU47" s="482"/>
      <c r="AV47" s="693"/>
    </row>
    <row r="48" spans="2:48" ht="15" customHeight="1" x14ac:dyDescent="0.2">
      <c r="B48" s="480"/>
      <c r="C48" s="723" t="str">
        <f>IFERROR(VLOOKUP(C47,WholeTable,27,FALSE),"")</f>
        <v>0.9% Saline, Plasmalyte or 5% Albumin</v>
      </c>
      <c r="D48" s="723"/>
      <c r="E48" s="723"/>
      <c r="F48" s="723"/>
      <c r="G48" s="723"/>
      <c r="H48" s="723"/>
      <c r="I48" s="723"/>
      <c r="J48" s="721"/>
      <c r="K48" s="721"/>
      <c r="L48" s="721"/>
      <c r="M48" s="721"/>
      <c r="N48" s="721"/>
      <c r="O48" s="721"/>
      <c r="P48" s="724" t="str">
        <f>IFERROR(VLOOKUP(C47,WholeTable,29,FALSE),"")</f>
        <v>Repeat if required</v>
      </c>
      <c r="Q48" s="724"/>
      <c r="R48" s="724"/>
      <c r="S48" s="724"/>
      <c r="T48" s="724"/>
      <c r="U48" s="724"/>
      <c r="V48" s="724"/>
      <c r="W48" s="490"/>
      <c r="X48" s="693"/>
      <c r="Z48" s="480"/>
      <c r="AA48" s="723" t="str">
        <f>IFERROR(VLOOKUP(AA47,WholeTable,27,FALSE),"")</f>
        <v>0.5 mg diluted to 50 mL</v>
      </c>
      <c r="AB48" s="723"/>
      <c r="AC48" s="723"/>
      <c r="AD48" s="723"/>
      <c r="AE48" s="723"/>
      <c r="AF48" s="723"/>
      <c r="AG48" s="723"/>
      <c r="AH48" s="721"/>
      <c r="AI48" s="721"/>
      <c r="AJ48" s="721"/>
      <c r="AK48" s="721"/>
      <c r="AL48" s="721"/>
      <c r="AM48" s="721"/>
      <c r="AN48" s="724" t="str">
        <f>IFERROR(VLOOKUP(AA47,WholeTable,29,FALSE),"")</f>
        <v>@0.01 - 1 micrograms/kg/min</v>
      </c>
      <c r="AO48" s="724"/>
      <c r="AP48" s="724"/>
      <c r="AQ48" s="724"/>
      <c r="AR48" s="724"/>
      <c r="AS48" s="724"/>
      <c r="AT48" s="724"/>
      <c r="AU48" s="482"/>
      <c r="AV48" s="693"/>
    </row>
    <row r="49" spans="2:48" ht="15" customHeight="1" x14ac:dyDescent="0.2">
      <c r="B49" s="480"/>
      <c r="C49" s="720" t="str">
        <f>IFERROR(Admin!C49,"")</f>
        <v>Adrenaline IV (dilute bolus)</v>
      </c>
      <c r="D49" s="720"/>
      <c r="E49" s="720"/>
      <c r="F49" s="720"/>
      <c r="G49" s="720"/>
      <c r="H49" s="720"/>
      <c r="I49" s="720"/>
      <c r="J49" s="721" t="str">
        <f>IFERROR(VLOOKUP(C49,WholeTable,26,FALSE),"")</f>
        <v>Dilute as per box on right
 DOSE: 1 mL of dilution</v>
      </c>
      <c r="K49" s="721"/>
      <c r="L49" s="721"/>
      <c r="M49" s="721"/>
      <c r="N49" s="721"/>
      <c r="O49" s="721"/>
      <c r="P49" s="722" t="str">
        <f>IFERROR(VLOOKUP(C49,WholeTable,28,FALSE),"")</f>
        <v>Dilute 0.35 mL of 1:10,000 Adrenaline</v>
      </c>
      <c r="Q49" s="722"/>
      <c r="R49" s="722"/>
      <c r="S49" s="722"/>
      <c r="T49" s="722"/>
      <c r="U49" s="722"/>
      <c r="V49" s="722"/>
      <c r="W49" s="490"/>
      <c r="X49" s="693"/>
      <c r="Z49" s="480"/>
      <c r="AA49" s="720" t="str">
        <f>IFERROR(Admin!K49,"")</f>
        <v>Morphine (Infusion)</v>
      </c>
      <c r="AB49" s="720"/>
      <c r="AC49" s="720"/>
      <c r="AD49" s="720"/>
      <c r="AE49" s="720"/>
      <c r="AF49" s="720"/>
      <c r="AG49" s="720"/>
      <c r="AH49" s="721" t="str">
        <f>IFERROR(VLOOKUP(AA49,WholeTable,26,FALSE),"")</f>
        <v>0.5 - 2 mL/hr</v>
      </c>
      <c r="AI49" s="721"/>
      <c r="AJ49" s="721"/>
      <c r="AK49" s="721"/>
      <c r="AL49" s="721"/>
      <c r="AM49" s="721"/>
      <c r="AN49" s="722" t="str">
        <f>IFERROR(VLOOKUP(AA49,WholeTable,28,FALSE),"")</f>
        <v>1ml/hr = 20 micrograms/kg/hour</v>
      </c>
      <c r="AO49" s="722"/>
      <c r="AP49" s="722"/>
      <c r="AQ49" s="722"/>
      <c r="AR49" s="722"/>
      <c r="AS49" s="722"/>
      <c r="AT49" s="722"/>
      <c r="AU49" s="482"/>
      <c r="AV49" s="693"/>
    </row>
    <row r="50" spans="2:48" ht="15" customHeight="1" x14ac:dyDescent="0.2">
      <c r="B50" s="480"/>
      <c r="C50" s="723" t="str">
        <f>IFERROR(VLOOKUP(C49,WholeTable,27,FALSE),"")</f>
        <v>Dose: 1 mcg/kg = 3.5 mcg</v>
      </c>
      <c r="D50" s="723"/>
      <c r="E50" s="723"/>
      <c r="F50" s="723"/>
      <c r="G50" s="723"/>
      <c r="H50" s="723"/>
      <c r="I50" s="723"/>
      <c r="J50" s="721"/>
      <c r="K50" s="721"/>
      <c r="L50" s="721"/>
      <c r="M50" s="721"/>
      <c r="N50" s="721"/>
      <c r="O50" s="721"/>
      <c r="P50" s="724" t="str">
        <f>IFERROR(VLOOKUP(C49,WholeTable,29,FALSE),"")</f>
        <v xml:space="preserve"> (LARGE ampoule) into 10 mL normal saline</v>
      </c>
      <c r="Q50" s="724"/>
      <c r="R50" s="724"/>
      <c r="S50" s="724"/>
      <c r="T50" s="724"/>
      <c r="U50" s="724"/>
      <c r="V50" s="724"/>
      <c r="W50" s="490"/>
      <c r="X50" s="693"/>
      <c r="Z50" s="480"/>
      <c r="AA50" s="723" t="str">
        <f>IFERROR(VLOOKUP(AA49,WholeTable,27,FALSE),"")</f>
        <v>3.5 mg diluted to 50 mL</v>
      </c>
      <c r="AB50" s="723"/>
      <c r="AC50" s="723"/>
      <c r="AD50" s="723"/>
      <c r="AE50" s="723"/>
      <c r="AF50" s="723"/>
      <c r="AG50" s="723"/>
      <c r="AH50" s="721"/>
      <c r="AI50" s="721"/>
      <c r="AJ50" s="721"/>
      <c r="AK50" s="721"/>
      <c r="AL50" s="721"/>
      <c r="AM50" s="721"/>
      <c r="AN50" s="724" t="str">
        <f>IFERROR(VLOOKUP(AA49,WholeTable,29,FALSE),"")</f>
        <v>@10 - 40 micrograms/kg/HOUR</v>
      </c>
      <c r="AO50" s="724"/>
      <c r="AP50" s="724"/>
      <c r="AQ50" s="724"/>
      <c r="AR50" s="724"/>
      <c r="AS50" s="724"/>
      <c r="AT50" s="724"/>
      <c r="AU50" s="482"/>
      <c r="AV50" s="693"/>
    </row>
    <row r="51" spans="2:48" ht="15" customHeight="1" x14ac:dyDescent="0.2">
      <c r="B51" s="480"/>
      <c r="C51" s="720" t="str">
        <f>IFERROR(Admin!C51,"")</f>
        <v>Metaraminol (dilute bolus)</v>
      </c>
      <c r="D51" s="720"/>
      <c r="E51" s="720"/>
      <c r="F51" s="720"/>
      <c r="G51" s="720"/>
      <c r="H51" s="720"/>
      <c r="I51" s="720"/>
      <c r="J51" s="721" t="str">
        <f>IFERROR(VLOOKUP(C51,WholeTable,26,FALSE),"")</f>
        <v>Dilute as per box on right
 DOSE: 0.4 mL of dilution</v>
      </c>
      <c r="K51" s="721"/>
      <c r="L51" s="721"/>
      <c r="M51" s="721"/>
      <c r="N51" s="721"/>
      <c r="O51" s="721"/>
      <c r="P51" s="722" t="str">
        <f>IFERROR(VLOOKUP(C51,WholeTable,28,FALSE),"")</f>
        <v>Dilute 10 mg ampoule into 100 mL bag of</v>
      </c>
      <c r="Q51" s="722"/>
      <c r="R51" s="722"/>
      <c r="S51" s="722"/>
      <c r="T51" s="722"/>
      <c r="U51" s="722"/>
      <c r="V51" s="722"/>
      <c r="W51" s="490"/>
      <c r="X51" s="693"/>
      <c r="Z51" s="480"/>
      <c r="AA51" s="720" t="str">
        <f>IFERROR(Admin!K51,"")</f>
        <v>Midazolam (Infusion)</v>
      </c>
      <c r="AB51" s="720"/>
      <c r="AC51" s="720"/>
      <c r="AD51" s="720"/>
      <c r="AE51" s="720"/>
      <c r="AF51" s="720"/>
      <c r="AG51" s="720"/>
      <c r="AH51" s="721" t="str">
        <f>IFERROR(VLOOKUP(AA51,WholeTable,26,FALSE),"")</f>
        <v>1 - 4 mL/hr</v>
      </c>
      <c r="AI51" s="721"/>
      <c r="AJ51" s="721"/>
      <c r="AK51" s="721"/>
      <c r="AL51" s="721"/>
      <c r="AM51" s="721"/>
      <c r="AN51" s="722" t="str">
        <f>IFERROR(VLOOKUP(AA51,WholeTable,28,FALSE),"")</f>
        <v>1ml/hr = 1 micrograms/kg/min</v>
      </c>
      <c r="AO51" s="722"/>
      <c r="AP51" s="722"/>
      <c r="AQ51" s="722"/>
      <c r="AR51" s="722"/>
      <c r="AS51" s="722"/>
      <c r="AT51" s="722"/>
      <c r="AU51" s="482"/>
      <c r="AV51" s="693"/>
    </row>
    <row r="52" spans="2:48" ht="15" customHeight="1" x14ac:dyDescent="0.2">
      <c r="B52" s="480"/>
      <c r="C52" s="723" t="str">
        <f>IFERROR(VLOOKUP(C51,WholeTable,27,FALSE),"")</f>
        <v>Dose: 10 mcg/kg = 35 mcg</v>
      </c>
      <c r="D52" s="723"/>
      <c r="E52" s="723"/>
      <c r="F52" s="723"/>
      <c r="G52" s="723"/>
      <c r="H52" s="723"/>
      <c r="I52" s="723"/>
      <c r="J52" s="721"/>
      <c r="K52" s="721"/>
      <c r="L52" s="721"/>
      <c r="M52" s="721"/>
      <c r="N52" s="721"/>
      <c r="O52" s="721"/>
      <c r="P52" s="724" t="str">
        <f>IFERROR(VLOOKUP(C51,WholeTable,29,FALSE),"")</f>
        <v>normal saline. Draw up into 1 mL syringe</v>
      </c>
      <c r="Q52" s="724"/>
      <c r="R52" s="724"/>
      <c r="S52" s="724"/>
      <c r="T52" s="724"/>
      <c r="U52" s="724"/>
      <c r="V52" s="724"/>
      <c r="W52" s="490"/>
      <c r="X52" s="693"/>
      <c r="Z52" s="480"/>
      <c r="AA52" s="723" t="str">
        <f>IFERROR(VLOOKUP(AA51,WholeTable,27,FALSE),"")</f>
        <v>10.5 mg diluted to 50 mL</v>
      </c>
      <c r="AB52" s="723"/>
      <c r="AC52" s="723"/>
      <c r="AD52" s="723"/>
      <c r="AE52" s="723"/>
      <c r="AF52" s="723"/>
      <c r="AG52" s="723"/>
      <c r="AH52" s="721"/>
      <c r="AI52" s="721"/>
      <c r="AJ52" s="721"/>
      <c r="AK52" s="721"/>
      <c r="AL52" s="721"/>
      <c r="AM52" s="721"/>
      <c r="AN52" s="724" t="str">
        <f>IFERROR(VLOOKUP(AA51,WholeTable,29,FALSE),"")</f>
        <v>@1 - 4 micrograms/kg/min</v>
      </c>
      <c r="AO52" s="724"/>
      <c r="AP52" s="724"/>
      <c r="AQ52" s="724"/>
      <c r="AR52" s="724"/>
      <c r="AS52" s="724"/>
      <c r="AT52" s="724"/>
      <c r="AU52" s="482"/>
      <c r="AV52" s="693"/>
    </row>
    <row r="53" spans="2:48" ht="15" customHeight="1" x14ac:dyDescent="0.2">
      <c r="B53" s="480"/>
      <c r="C53" s="720" t="str">
        <f>IFERROR(Admin!C53,"")</f>
        <v>Anaphylaxis</v>
      </c>
      <c r="D53" s="720"/>
      <c r="E53" s="720"/>
      <c r="F53" s="720"/>
      <c r="G53" s="720"/>
      <c r="H53" s="720"/>
      <c r="I53" s="720"/>
      <c r="J53" s="721" t="str">
        <f>IFERROR(VLOOKUP(C53,WholeTable,26,FALSE),"")</f>
        <v>Anaphylaxis</v>
      </c>
      <c r="K53" s="721"/>
      <c r="L53" s="721"/>
      <c r="M53" s="721"/>
      <c r="N53" s="721"/>
      <c r="O53" s="721"/>
      <c r="P53" s="722">
        <f>IFERROR(VLOOKUP(C53,WholeTable,28,FALSE),"")</f>
        <v>0</v>
      </c>
      <c r="Q53" s="722"/>
      <c r="R53" s="722"/>
      <c r="S53" s="722"/>
      <c r="T53" s="722"/>
      <c r="U53" s="722"/>
      <c r="V53" s="722"/>
      <c r="W53" s="490"/>
      <c r="X53" s="693"/>
      <c r="Z53" s="480"/>
      <c r="AA53" s="720" t="str">
        <f>IFERROR(Admin!K53,"")</f>
        <v>Salbutamol (Infusion)</v>
      </c>
      <c r="AB53" s="720"/>
      <c r="AC53" s="720"/>
      <c r="AD53" s="720"/>
      <c r="AE53" s="720"/>
      <c r="AF53" s="720"/>
      <c r="AG53" s="720"/>
      <c r="AH53" s="721" t="str">
        <f>IFERROR(VLOOKUP(AA53,WholeTable,26,FALSE),"")</f>
        <v>1 - 2 mL/hr</v>
      </c>
      <c r="AI53" s="721"/>
      <c r="AJ53" s="721"/>
      <c r="AK53" s="721"/>
      <c r="AL53" s="721"/>
      <c r="AM53" s="721"/>
      <c r="AN53" s="722" t="str">
        <f>IFERROR(VLOOKUP(AA53,WholeTable,28,FALSE),"")</f>
        <v>1ml/hr = 1 micrograms/kg/min</v>
      </c>
      <c r="AO53" s="722"/>
      <c r="AP53" s="722"/>
      <c r="AQ53" s="722"/>
      <c r="AR53" s="722"/>
      <c r="AS53" s="722"/>
      <c r="AT53" s="722"/>
      <c r="AU53" s="482"/>
      <c r="AV53" s="693"/>
    </row>
    <row r="54" spans="2:48" ht="15" customHeight="1" x14ac:dyDescent="0.2">
      <c r="B54" s="480"/>
      <c r="C54" s="723">
        <f>IFERROR(VLOOKUP(C53,WholeTable,27,FALSE),"")</f>
        <v>0</v>
      </c>
      <c r="D54" s="723"/>
      <c r="E54" s="723"/>
      <c r="F54" s="723"/>
      <c r="G54" s="723"/>
      <c r="H54" s="723"/>
      <c r="I54" s="723"/>
      <c r="J54" s="721"/>
      <c r="K54" s="721"/>
      <c r="L54" s="721"/>
      <c r="M54" s="721"/>
      <c r="N54" s="721"/>
      <c r="O54" s="721"/>
      <c r="P54" s="724">
        <f>IFERROR(VLOOKUP(C53,WholeTable,29,FALSE),"")</f>
        <v>0</v>
      </c>
      <c r="Q54" s="724"/>
      <c r="R54" s="724"/>
      <c r="S54" s="724"/>
      <c r="T54" s="724"/>
      <c r="U54" s="724"/>
      <c r="V54" s="724"/>
      <c r="W54" s="490"/>
      <c r="X54" s="693"/>
      <c r="Z54" s="480"/>
      <c r="AA54" s="723" t="str">
        <f>IFERROR(VLOOKUP(AA53,WholeTable,27,FALSE),"")</f>
        <v>10.5 mg diluted to 50 mL</v>
      </c>
      <c r="AB54" s="723"/>
      <c r="AC54" s="723"/>
      <c r="AD54" s="723"/>
      <c r="AE54" s="723"/>
      <c r="AF54" s="723"/>
      <c r="AG54" s="723"/>
      <c r="AH54" s="721"/>
      <c r="AI54" s="721"/>
      <c r="AJ54" s="721"/>
      <c r="AK54" s="721"/>
      <c r="AL54" s="721"/>
      <c r="AM54" s="721"/>
      <c r="AN54" s="724" t="str">
        <f>IFERROR(VLOOKUP(AA53,WholeTable,29,FALSE),"")</f>
        <v>@1 - 2 micrograms/kg/min</v>
      </c>
      <c r="AO54" s="724"/>
      <c r="AP54" s="724"/>
      <c r="AQ54" s="724"/>
      <c r="AR54" s="724"/>
      <c r="AS54" s="724"/>
      <c r="AT54" s="724"/>
      <c r="AU54" s="482"/>
      <c r="AV54" s="693"/>
    </row>
    <row r="55" spans="2:48" ht="15" customHeight="1" x14ac:dyDescent="0.2">
      <c r="B55" s="480"/>
      <c r="C55" s="720" t="str">
        <f>IFERROR(Admin!C55,"")</f>
        <v>Adrenaline IM (for anaphylaxis)</v>
      </c>
      <c r="D55" s="720"/>
      <c r="E55" s="720"/>
      <c r="F55" s="720"/>
      <c r="G55" s="720"/>
      <c r="H55" s="720"/>
      <c r="I55" s="720"/>
      <c r="J55" s="721" t="str">
        <f>IFERROR(VLOOKUP(C55,WholeTable,26,FALSE),"")</f>
        <v>0.1 mL INTRAMUSCULAR</v>
      </c>
      <c r="K55" s="721"/>
      <c r="L55" s="721"/>
      <c r="M55" s="721"/>
      <c r="N55" s="721"/>
      <c r="O55" s="721"/>
      <c r="P55" s="722" t="str">
        <f>IFERROR(VLOOKUP(C55,WholeTable,28,FALSE),"")</f>
        <v>0.01 mg/kg = 0.1 mg</v>
      </c>
      <c r="Q55" s="722"/>
      <c r="R55" s="722"/>
      <c r="S55" s="722"/>
      <c r="T55" s="722"/>
      <c r="U55" s="722"/>
      <c r="V55" s="722"/>
      <c r="W55" s="490"/>
      <c r="X55" s="693"/>
      <c r="Z55" s="480"/>
      <c r="AA55" s="720" t="str">
        <f>IFERROR(Admin!K55,"")</f>
        <v>Aminophylline (Infusion)</v>
      </c>
      <c r="AB55" s="720"/>
      <c r="AC55" s="720"/>
      <c r="AD55" s="720"/>
      <c r="AE55" s="720"/>
      <c r="AF55" s="720"/>
      <c r="AG55" s="720"/>
      <c r="AH55" s="721" t="str">
        <f>IFERROR(VLOOKUP(AA55,WholeTable,26,FALSE),"")</f>
        <v>Both age &amp; weight required</v>
      </c>
      <c r="AI55" s="721"/>
      <c r="AJ55" s="721"/>
      <c r="AK55" s="721"/>
      <c r="AL55" s="721"/>
      <c r="AM55" s="721"/>
      <c r="AN55" s="722">
        <f>IFERROR(VLOOKUP(AA55,WholeTable,28,FALSE),"")</f>
        <v>0</v>
      </c>
      <c r="AO55" s="722"/>
      <c r="AP55" s="722"/>
      <c r="AQ55" s="722"/>
      <c r="AR55" s="722"/>
      <c r="AS55" s="722"/>
      <c r="AT55" s="722"/>
      <c r="AU55" s="482"/>
      <c r="AV55" s="693"/>
    </row>
    <row r="56" spans="2:48" ht="15" customHeight="1" x14ac:dyDescent="0.2">
      <c r="B56" s="480"/>
      <c r="C56" s="723" t="str">
        <f>IFERROR(VLOOKUP(C55,WholeTable,27,FALSE),"")</f>
        <v>1:1000 SMALL ampoule</v>
      </c>
      <c r="D56" s="723"/>
      <c r="E56" s="723"/>
      <c r="F56" s="723"/>
      <c r="G56" s="723"/>
      <c r="H56" s="723"/>
      <c r="I56" s="723"/>
      <c r="J56" s="721"/>
      <c r="K56" s="721"/>
      <c r="L56" s="721"/>
      <c r="M56" s="721"/>
      <c r="N56" s="721"/>
      <c r="O56" s="721"/>
      <c r="P56" s="724" t="str">
        <f>IFERROR(VLOOKUP(C55,WholeTable,29,FALSE),"")</f>
        <v>min = 0.1 mg, max = 0.5 mg</v>
      </c>
      <c r="Q56" s="724"/>
      <c r="R56" s="724"/>
      <c r="S56" s="724"/>
      <c r="T56" s="724"/>
      <c r="U56" s="724"/>
      <c r="V56" s="724"/>
      <c r="W56" s="490"/>
      <c r="X56" s="693"/>
      <c r="Z56" s="480"/>
      <c r="AA56" s="723">
        <f>IFERROR(VLOOKUP(AA55,WholeTable,27,FALSE),"")</f>
        <v>0</v>
      </c>
      <c r="AB56" s="723"/>
      <c r="AC56" s="723"/>
      <c r="AD56" s="723"/>
      <c r="AE56" s="723"/>
      <c r="AF56" s="723"/>
      <c r="AG56" s="723"/>
      <c r="AH56" s="721"/>
      <c r="AI56" s="721"/>
      <c r="AJ56" s="721"/>
      <c r="AK56" s="721"/>
      <c r="AL56" s="721"/>
      <c r="AM56" s="721"/>
      <c r="AN56" s="724">
        <f>IFERROR(VLOOKUP(AA55,WholeTable,29,FALSE),"")</f>
        <v>0</v>
      </c>
      <c r="AO56" s="724"/>
      <c r="AP56" s="724"/>
      <c r="AQ56" s="724"/>
      <c r="AR56" s="724"/>
      <c r="AS56" s="724"/>
      <c r="AT56" s="724"/>
      <c r="AU56" s="482"/>
      <c r="AV56" s="693"/>
    </row>
    <row r="57" spans="2:48" ht="12" customHeight="1" x14ac:dyDescent="0.2">
      <c r="B57" s="480"/>
      <c r="C57" s="483"/>
      <c r="D57" s="483"/>
      <c r="E57" s="483"/>
      <c r="F57" s="483"/>
      <c r="G57" s="483"/>
      <c r="H57" s="483"/>
      <c r="I57" s="483"/>
      <c r="J57" s="497"/>
      <c r="K57" s="497"/>
      <c r="L57" s="497"/>
      <c r="M57" s="497"/>
      <c r="N57" s="497"/>
      <c r="O57" s="497"/>
      <c r="P57" s="497"/>
      <c r="Q57" s="497"/>
      <c r="R57" s="497"/>
      <c r="S57" s="497"/>
      <c r="T57" s="497"/>
      <c r="U57" s="497"/>
      <c r="V57" s="497"/>
      <c r="W57" s="482"/>
      <c r="X57" s="693"/>
      <c r="Z57" s="480"/>
      <c r="AA57" s="497"/>
      <c r="AB57" s="497"/>
      <c r="AC57" s="497"/>
      <c r="AD57" s="497"/>
      <c r="AE57" s="497"/>
      <c r="AF57" s="497"/>
      <c r="AG57" s="497"/>
      <c r="AH57" s="497"/>
      <c r="AI57" s="497"/>
      <c r="AJ57" s="497"/>
      <c r="AK57" s="497"/>
      <c r="AL57" s="497"/>
      <c r="AM57" s="497"/>
      <c r="AN57" s="497"/>
      <c r="AO57" s="497"/>
      <c r="AP57" s="497"/>
      <c r="AQ57" s="497"/>
      <c r="AR57" s="497"/>
      <c r="AS57" s="497"/>
      <c r="AT57" s="497"/>
      <c r="AU57" s="482"/>
      <c r="AV57" s="693"/>
    </row>
    <row r="58" spans="2:48" ht="12" customHeight="1" thickBot="1" x14ac:dyDescent="0.25">
      <c r="B58" s="493"/>
      <c r="C58" s="494"/>
      <c r="D58" s="494"/>
      <c r="E58" s="494"/>
      <c r="F58" s="494"/>
      <c r="G58" s="494"/>
      <c r="H58" s="494"/>
      <c r="I58" s="494"/>
      <c r="J58" s="495"/>
      <c r="K58" s="495"/>
      <c r="L58" s="495"/>
      <c r="M58" s="495"/>
      <c r="N58" s="495"/>
      <c r="O58" s="495"/>
      <c r="P58" s="495"/>
      <c r="Q58" s="495"/>
      <c r="R58" s="495"/>
      <c r="S58" s="495"/>
      <c r="T58" s="495"/>
      <c r="U58" s="495"/>
      <c r="V58" s="495"/>
      <c r="W58" s="496"/>
      <c r="X58" s="253"/>
      <c r="Z58" s="493"/>
      <c r="AA58" s="495"/>
      <c r="AB58" s="495"/>
      <c r="AC58" s="495"/>
      <c r="AD58" s="495"/>
      <c r="AE58" s="495"/>
      <c r="AF58" s="495"/>
      <c r="AG58" s="495"/>
      <c r="AH58" s="495"/>
      <c r="AI58" s="495"/>
      <c r="AJ58" s="495"/>
      <c r="AK58" s="495"/>
      <c r="AL58" s="495"/>
      <c r="AM58" s="495"/>
      <c r="AN58" s="495"/>
      <c r="AO58" s="495"/>
      <c r="AP58" s="495"/>
      <c r="AQ58" s="495"/>
      <c r="AR58" s="495"/>
      <c r="AS58" s="495"/>
      <c r="AT58" s="495"/>
      <c r="AU58" s="496"/>
      <c r="AV58" s="253"/>
    </row>
    <row r="59" spans="2:48" ht="14" customHeight="1" x14ac:dyDescent="0.2">
      <c r="B59" s="692"/>
      <c r="C59" s="692"/>
      <c r="D59" s="692"/>
      <c r="E59" s="692"/>
      <c r="F59" s="692"/>
      <c r="G59" s="692"/>
      <c r="H59" s="692"/>
      <c r="I59" s="692"/>
      <c r="J59" s="692"/>
      <c r="K59" s="692"/>
      <c r="L59" s="692"/>
      <c r="M59" s="692"/>
      <c r="N59" s="692"/>
      <c r="O59" s="692"/>
      <c r="P59" s="692"/>
      <c r="Q59" s="692"/>
      <c r="R59" s="692"/>
      <c r="S59" s="692"/>
      <c r="T59" s="692"/>
      <c r="U59" s="692"/>
      <c r="V59" s="692"/>
      <c r="W59" s="692"/>
      <c r="X59" s="8"/>
      <c r="Z59" s="692"/>
      <c r="AA59" s="692"/>
      <c r="AB59" s="692"/>
      <c r="AC59" s="692"/>
      <c r="AD59" s="692"/>
      <c r="AE59" s="692"/>
      <c r="AF59" s="692"/>
      <c r="AG59" s="692"/>
      <c r="AH59" s="692"/>
      <c r="AI59" s="692"/>
      <c r="AJ59" s="692"/>
      <c r="AK59" s="692"/>
      <c r="AL59" s="692"/>
      <c r="AM59" s="692"/>
      <c r="AN59" s="692"/>
      <c r="AO59" s="692"/>
      <c r="AP59" s="692"/>
      <c r="AQ59" s="692"/>
      <c r="AR59" s="692"/>
      <c r="AS59" s="692"/>
      <c r="AT59" s="692"/>
      <c r="AU59" s="692"/>
      <c r="AV59" s="8"/>
    </row>
    <row r="60" spans="2:48" ht="12" customHeight="1" x14ac:dyDescent="0.2"/>
    <row r="61" spans="2:48" ht="12" customHeight="1" x14ac:dyDescent="0.2"/>
    <row r="62" spans="2:48" ht="12" customHeight="1" x14ac:dyDescent="0.2"/>
  </sheetData>
  <sheetProtection algorithmName="SHA-512" hashValue="Gjk7TC0xYaVBoIOoYvbEIKw4tN0ZLv15fBKwoVq5tjV1w7y4+uX4FAbRwCL+EZ2m92xN8Susf5sXfFk6TM7YKA==" saltValue="3vW/SzWPLjvt7Tzemr0GyA==" spinCount="100000" sheet="1" objects="1" scenarios="1" selectLockedCells="1" selectUnlockedCells="1"/>
  <mergeCells count="248">
    <mergeCell ref="Z59:AU59"/>
    <mergeCell ref="X2:X57"/>
    <mergeCell ref="AV2:AV57"/>
    <mergeCell ref="B59:W59"/>
    <mergeCell ref="AA53:AG53"/>
    <mergeCell ref="AH53:AM54"/>
    <mergeCell ref="AN53:AT53"/>
    <mergeCell ref="AA54:AG54"/>
    <mergeCell ref="AN54:AT54"/>
    <mergeCell ref="AA55:AG55"/>
    <mergeCell ref="AH55:AM56"/>
    <mergeCell ref="AN55:AT55"/>
    <mergeCell ref="AA56:AG56"/>
    <mergeCell ref="AN56:AT56"/>
    <mergeCell ref="AA49:AG49"/>
    <mergeCell ref="AH49:AM50"/>
    <mergeCell ref="AN49:AT49"/>
    <mergeCell ref="AA50:AG50"/>
    <mergeCell ref="AN50:AT50"/>
    <mergeCell ref="AA51:AG51"/>
    <mergeCell ref="AH51:AM52"/>
    <mergeCell ref="AN51:AT51"/>
    <mergeCell ref="AA52:AG52"/>
    <mergeCell ref="AN52:AT52"/>
    <mergeCell ref="AA45:AG45"/>
    <mergeCell ref="AH45:AM46"/>
    <mergeCell ref="AN45:AT45"/>
    <mergeCell ref="AA46:AG46"/>
    <mergeCell ref="AN46:AT46"/>
    <mergeCell ref="AA47:AG47"/>
    <mergeCell ref="AH47:AM48"/>
    <mergeCell ref="AN47:AT47"/>
    <mergeCell ref="AA48:AG48"/>
    <mergeCell ref="AN48:AT48"/>
    <mergeCell ref="AA41:AG41"/>
    <mergeCell ref="AH41:AM42"/>
    <mergeCell ref="AN41:AT41"/>
    <mergeCell ref="AA42:AG42"/>
    <mergeCell ref="AN42:AT42"/>
    <mergeCell ref="AA43:AG43"/>
    <mergeCell ref="AH43:AM44"/>
    <mergeCell ref="AN43:AT43"/>
    <mergeCell ref="AA44:AG44"/>
    <mergeCell ref="AN44:AT44"/>
    <mergeCell ref="AA37:AG37"/>
    <mergeCell ref="AH37:AM38"/>
    <mergeCell ref="AN37:AT37"/>
    <mergeCell ref="AA38:AG38"/>
    <mergeCell ref="AN38:AT38"/>
    <mergeCell ref="AA39:AG39"/>
    <mergeCell ref="AH39:AM40"/>
    <mergeCell ref="AN39:AT39"/>
    <mergeCell ref="AA40:AG40"/>
    <mergeCell ref="AN40:AT40"/>
    <mergeCell ref="AA33:AG33"/>
    <mergeCell ref="AH33:AM34"/>
    <mergeCell ref="AN33:AT33"/>
    <mergeCell ref="AA34:AG34"/>
    <mergeCell ref="AN34:AT34"/>
    <mergeCell ref="AA35:AG35"/>
    <mergeCell ref="AH35:AM36"/>
    <mergeCell ref="AN35:AT35"/>
    <mergeCell ref="AA36:AG36"/>
    <mergeCell ref="AN36:AT36"/>
    <mergeCell ref="AA29:AG29"/>
    <mergeCell ref="AH29:AM30"/>
    <mergeCell ref="AN29:AT29"/>
    <mergeCell ref="AA30:AG30"/>
    <mergeCell ref="AN30:AT30"/>
    <mergeCell ref="AA31:AG31"/>
    <mergeCell ref="AH31:AM32"/>
    <mergeCell ref="AN31:AT31"/>
    <mergeCell ref="AA32:AG32"/>
    <mergeCell ref="AN32:AT32"/>
    <mergeCell ref="AA25:AG25"/>
    <mergeCell ref="AH25:AM26"/>
    <mergeCell ref="AN25:AT25"/>
    <mergeCell ref="AA26:AG26"/>
    <mergeCell ref="AN26:AT26"/>
    <mergeCell ref="AA27:AG27"/>
    <mergeCell ref="AH27:AM28"/>
    <mergeCell ref="AN27:AT27"/>
    <mergeCell ref="AA28:AG28"/>
    <mergeCell ref="AN28:AT28"/>
    <mergeCell ref="AA21:AG21"/>
    <mergeCell ref="AH21:AM22"/>
    <mergeCell ref="AN21:AT21"/>
    <mergeCell ref="AA22:AG22"/>
    <mergeCell ref="AN22:AT22"/>
    <mergeCell ref="AA23:AG23"/>
    <mergeCell ref="AH23:AM24"/>
    <mergeCell ref="AN23:AT23"/>
    <mergeCell ref="AA24:AG24"/>
    <mergeCell ref="AN24:AT24"/>
    <mergeCell ref="AA17:AG17"/>
    <mergeCell ref="AH17:AM18"/>
    <mergeCell ref="AN17:AT17"/>
    <mergeCell ref="AA18:AG18"/>
    <mergeCell ref="AN18:AT18"/>
    <mergeCell ref="AA19:AG19"/>
    <mergeCell ref="AH19:AM20"/>
    <mergeCell ref="AN19:AT19"/>
    <mergeCell ref="AA20:AG20"/>
    <mergeCell ref="AN20:AT20"/>
    <mergeCell ref="AA13:AG13"/>
    <mergeCell ref="AH13:AM14"/>
    <mergeCell ref="AN13:AT13"/>
    <mergeCell ref="AA14:AG14"/>
    <mergeCell ref="AN14:AT14"/>
    <mergeCell ref="AA15:AG15"/>
    <mergeCell ref="AH15:AM16"/>
    <mergeCell ref="AN15:AT15"/>
    <mergeCell ref="AA16:AG16"/>
    <mergeCell ref="AN16:AT16"/>
    <mergeCell ref="AA3:AM7"/>
    <mergeCell ref="AP4:AS5"/>
    <mergeCell ref="AA8:AT8"/>
    <mergeCell ref="AA9:AG10"/>
    <mergeCell ref="AH9:AM10"/>
    <mergeCell ref="AN9:AT10"/>
    <mergeCell ref="AA11:AG11"/>
    <mergeCell ref="AH11:AM12"/>
    <mergeCell ref="AN11:AT11"/>
    <mergeCell ref="AA12:AG12"/>
    <mergeCell ref="AN12:AT12"/>
    <mergeCell ref="AO6:AT6"/>
    <mergeCell ref="C48:I48"/>
    <mergeCell ref="C51:I51"/>
    <mergeCell ref="C52:I52"/>
    <mergeCell ref="C53:I53"/>
    <mergeCell ref="C54:I54"/>
    <mergeCell ref="C55:I55"/>
    <mergeCell ref="C22:I22"/>
    <mergeCell ref="C41:I41"/>
    <mergeCell ref="C42:I42"/>
    <mergeCell ref="C43:I43"/>
    <mergeCell ref="C44:I44"/>
    <mergeCell ref="C45:I45"/>
    <mergeCell ref="C46:I46"/>
    <mergeCell ref="C25:I25"/>
    <mergeCell ref="C26:I26"/>
    <mergeCell ref="C27:I27"/>
    <mergeCell ref="C28:I28"/>
    <mergeCell ref="C37:I37"/>
    <mergeCell ref="C38:I38"/>
    <mergeCell ref="C35:I35"/>
    <mergeCell ref="C17:I17"/>
    <mergeCell ref="C18:I18"/>
    <mergeCell ref="C19:I19"/>
    <mergeCell ref="C20:I20"/>
    <mergeCell ref="J45:O46"/>
    <mergeCell ref="P46:V46"/>
    <mergeCell ref="J53:O54"/>
    <mergeCell ref="P53:V53"/>
    <mergeCell ref="P54:V54"/>
    <mergeCell ref="J43:O44"/>
    <mergeCell ref="P43:V43"/>
    <mergeCell ref="P44:V44"/>
    <mergeCell ref="J47:O48"/>
    <mergeCell ref="P47:V47"/>
    <mergeCell ref="P48:V48"/>
    <mergeCell ref="C47:I47"/>
    <mergeCell ref="J39:O40"/>
    <mergeCell ref="P39:V39"/>
    <mergeCell ref="P40:V40"/>
    <mergeCell ref="J41:O42"/>
    <mergeCell ref="P41:V41"/>
    <mergeCell ref="P42:V42"/>
    <mergeCell ref="C39:I39"/>
    <mergeCell ref="C40:I40"/>
    <mergeCell ref="J55:O56"/>
    <mergeCell ref="P55:V55"/>
    <mergeCell ref="P56:V56"/>
    <mergeCell ref="C56:I56"/>
    <mergeCell ref="C49:I49"/>
    <mergeCell ref="J49:O50"/>
    <mergeCell ref="P49:V49"/>
    <mergeCell ref="C50:I50"/>
    <mergeCell ref="P50:V50"/>
    <mergeCell ref="J51:O52"/>
    <mergeCell ref="P51:V51"/>
    <mergeCell ref="P52:V52"/>
    <mergeCell ref="P45:V45"/>
    <mergeCell ref="J35:O36"/>
    <mergeCell ref="P35:V35"/>
    <mergeCell ref="C36:I36"/>
    <mergeCell ref="P36:V36"/>
    <mergeCell ref="J37:O38"/>
    <mergeCell ref="C31:I31"/>
    <mergeCell ref="J31:O32"/>
    <mergeCell ref="P31:V31"/>
    <mergeCell ref="C32:I32"/>
    <mergeCell ref="P32:V32"/>
    <mergeCell ref="C33:I33"/>
    <mergeCell ref="J33:O34"/>
    <mergeCell ref="P33:V33"/>
    <mergeCell ref="C34:I34"/>
    <mergeCell ref="P34:V34"/>
    <mergeCell ref="P37:V37"/>
    <mergeCell ref="P38:V38"/>
    <mergeCell ref="J25:O26"/>
    <mergeCell ref="P25:V25"/>
    <mergeCell ref="P26:V26"/>
    <mergeCell ref="C29:I29"/>
    <mergeCell ref="J29:O30"/>
    <mergeCell ref="P29:V29"/>
    <mergeCell ref="C30:I30"/>
    <mergeCell ref="P30:V30"/>
    <mergeCell ref="J21:O22"/>
    <mergeCell ref="P21:V21"/>
    <mergeCell ref="P22:V22"/>
    <mergeCell ref="C23:I23"/>
    <mergeCell ref="J23:O24"/>
    <mergeCell ref="P23:V23"/>
    <mergeCell ref="C24:I24"/>
    <mergeCell ref="P24:V24"/>
    <mergeCell ref="C21:I21"/>
    <mergeCell ref="P27:V27"/>
    <mergeCell ref="P28:V28"/>
    <mergeCell ref="J27:O28"/>
    <mergeCell ref="J17:O18"/>
    <mergeCell ref="P17:V17"/>
    <mergeCell ref="P18:V18"/>
    <mergeCell ref="J19:O20"/>
    <mergeCell ref="P19:V19"/>
    <mergeCell ref="P20:V20"/>
    <mergeCell ref="J13:O14"/>
    <mergeCell ref="P13:V13"/>
    <mergeCell ref="P14:V14"/>
    <mergeCell ref="C15:I15"/>
    <mergeCell ref="J15:O16"/>
    <mergeCell ref="P15:V15"/>
    <mergeCell ref="C16:I16"/>
    <mergeCell ref="P16:V16"/>
    <mergeCell ref="C3:O7"/>
    <mergeCell ref="R4:U5"/>
    <mergeCell ref="C8:V8"/>
    <mergeCell ref="C9:I10"/>
    <mergeCell ref="J9:O10"/>
    <mergeCell ref="P9:V10"/>
    <mergeCell ref="C12:I12"/>
    <mergeCell ref="C13:I13"/>
    <mergeCell ref="C14:I14"/>
    <mergeCell ref="P11:V11"/>
    <mergeCell ref="P12:V12"/>
    <mergeCell ref="J11:O12"/>
    <mergeCell ref="C11:I11"/>
    <mergeCell ref="Q6:V6"/>
  </mergeCells>
  <conditionalFormatting sqref="C11:I56">
    <cfRule type="expression" dxfId="259" priority="195">
      <formula>$C11=VLOOKUP($C11,InfusionsList,1,FALSE)</formula>
    </cfRule>
    <cfRule type="expression" dxfId="258" priority="272">
      <formula>AND($P11&lt;&gt;"",ISEVEN(ROW($C11)))</formula>
    </cfRule>
    <cfRule type="expression" dxfId="256" priority="233">
      <formula>AND($P11&lt;&gt;"",NOT(ISEVEN(ROW($C11))))</formula>
    </cfRule>
  </conditionalFormatting>
  <conditionalFormatting sqref="C8:V8">
    <cfRule type="cellIs" dxfId="252" priority="1" operator="equal">
      <formula>"Subscription expired"</formula>
    </cfRule>
    <cfRule type="cellIs" dxfId="251" priority="7" operator="equal">
      <formula>0</formula>
    </cfRule>
  </conditionalFormatting>
  <conditionalFormatting sqref="C9:V10">
    <cfRule type="expression" dxfId="250" priority="9">
      <formula>$P9&lt;&gt;""</formula>
    </cfRule>
  </conditionalFormatting>
  <conditionalFormatting sqref="C11:V56">
    <cfRule type="cellIs" dxfId="244" priority="210" operator="equal">
      <formula>0</formula>
    </cfRule>
    <cfRule type="expression" dxfId="230" priority="189">
      <formula>AND($C10&lt;&gt;"",($C10=VLOOKUP($C10,Headings,1,FALSE)))</formula>
    </cfRule>
    <cfRule type="expression" dxfId="228" priority="186">
      <formula>AND($C11&lt;&gt;"",($C11=VLOOKUP($C11,Headings,1,FALSE)))</formula>
    </cfRule>
    <cfRule type="expression" dxfId="206" priority="276">
      <formula>$P11=""</formula>
    </cfRule>
  </conditionalFormatting>
  <conditionalFormatting sqref="J11:O56">
    <cfRule type="expression" dxfId="163" priority="183">
      <formula>AND($J11&lt;&gt;"",($J11=VLOOKUP($J11,Headings,1,FALSE)))</formula>
    </cfRule>
    <cfRule type="expression" dxfId="161" priority="214">
      <formula>$P11&lt;&gt;""</formula>
    </cfRule>
  </conditionalFormatting>
  <conditionalFormatting sqref="P11:V56">
    <cfRule type="expression" dxfId="155" priority="245">
      <formula>AND($P11&lt;&gt;"",ISEVEN(ROW($C11)))</formula>
    </cfRule>
    <cfRule type="expression" dxfId="154" priority="218">
      <formula>AND($P11&lt;&gt;"",NOT(ISEVEN(ROW($C11))))</formula>
    </cfRule>
  </conditionalFormatting>
  <conditionalFormatting sqref="AA11:AG56">
    <cfRule type="expression" dxfId="153" priority="273">
      <formula>AND($AN11&lt;&gt;"",ISEVEN(ROW($AA11)))</formula>
    </cfRule>
    <cfRule type="expression" dxfId="152" priority="244">
      <formula>AND($AN11&lt;&gt;"",NOT(ISEVEN(ROW($AA11))))</formula>
    </cfRule>
    <cfRule type="expression" dxfId="150" priority="196">
      <formula>$AA11=VLOOKUP($AA11,InfusionsList,1,FALSE)</formula>
    </cfRule>
  </conditionalFormatting>
  <conditionalFormatting sqref="AA8:AT8">
    <cfRule type="cellIs" dxfId="146" priority="2" operator="equal">
      <formula>"Subscription expired"</formula>
    </cfRule>
    <cfRule type="cellIs" dxfId="145" priority="8" operator="equal">
      <formula>0</formula>
    </cfRule>
  </conditionalFormatting>
  <conditionalFormatting sqref="AA9:AT10">
    <cfRule type="expression" dxfId="144" priority="10">
      <formula>$AN9&lt;&gt;""</formula>
    </cfRule>
  </conditionalFormatting>
  <conditionalFormatting sqref="AA11:AT56">
    <cfRule type="cellIs" dxfId="122" priority="211" operator="equal">
      <formula>0</formula>
    </cfRule>
    <cfRule type="expression" dxfId="86" priority="190">
      <formula>AND($AA10&lt;&gt;"",($AA10=VLOOKUP($AA10,Headings,1,FALSE)))</formula>
    </cfRule>
    <cfRule type="expression" dxfId="83" priority="188">
      <formula>AND($AA11&lt;&gt;"",($AA11=VLOOKUP($AA11,Headings,1,FALSE)))</formula>
    </cfRule>
    <cfRule type="expression" dxfId="80" priority="558">
      <formula>$AN11=""</formula>
    </cfRule>
  </conditionalFormatting>
  <conditionalFormatting sqref="AH11:AM56">
    <cfRule type="expression" dxfId="79" priority="184">
      <formula>AND($AH11&lt;&gt;"",($AH11=VLOOKUP($AH11,Headings,1,FALSE)))</formula>
    </cfRule>
    <cfRule type="expression" dxfId="60" priority="215">
      <formula>$AN11&lt;&gt;""</formula>
    </cfRule>
  </conditionalFormatting>
  <conditionalFormatting sqref="AN11:AT56">
    <cfRule type="expression" dxfId="49" priority="269">
      <formula>AND($AN11&lt;&gt;"",ISEVEN(ROW($AA11)))</formula>
    </cfRule>
    <cfRule type="expression" dxfId="48" priority="219">
      <formula>AND($AN11&lt;&gt;"",NOT(ISEVEN(ROW($AA11))))</formula>
    </cfRule>
  </conditionalFormatting>
  <printOptions horizontalCentered="1" verticalCentered="1"/>
  <pageMargins left="0.39370078740157483" right="0.39370078740157483" top="0.59055118110236227" bottom="0.39370078740157483" header="0.31496062992125984" footer="0.31496062992125984"/>
  <pageSetup paperSize="9" scale="97" orientation="portrait" r:id="rId1"/>
  <headerFooter>
    <oddHeader>&amp;LDate printed: &amp;"-,Bold"&amp;D</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93" id="{3F20B75A-1540-894D-AE53-034BF10EE914}">
            <xm:f>AND($C11=VLOOKUP($C11,InfusionsList,1,FALSE),Admin!$P$61="On")</xm:f>
            <x14:dxf>
              <font>
                <b/>
                <i val="0"/>
                <color theme="1"/>
              </font>
              <fill>
                <patternFill>
                  <bgColor rgb="FFBEBBF8"/>
                </patternFill>
              </fill>
            </x14:dxf>
          </x14:cfRule>
          <x14:cfRule type="expression" priority="221" id="{EA764877-8852-B846-A683-54236C4AE7BC}">
            <xm:f>AND($P11&lt;&gt;"",NOT(ISEVEN(ROW($C11))),Admin!$P$63="On")</xm:f>
            <x14:dxf>
              <font>
                <b/>
                <i val="0"/>
                <color theme="1"/>
              </font>
              <fill>
                <patternFill>
                  <bgColor theme="0"/>
                </patternFill>
              </fill>
              <border>
                <left style="thin">
                  <color auto="1"/>
                </left>
                <right/>
                <top style="thin">
                  <color auto="1"/>
                </top>
                <bottom/>
              </border>
            </x14:dxf>
          </x14:cfRule>
          <xm:sqref>C11:I56</xm:sqref>
        </x14:conditionalFormatting>
        <x14:conditionalFormatting xmlns:xm="http://schemas.microsoft.com/office/excel/2006/main">
          <x14:cfRule type="expression" priority="3" id="{766EAAD8-8C78-204C-9D3B-90FB324C47CB}">
            <xm:f>Backend!$D$2=0</xm:f>
            <x14:dxf>
              <font>
                <color theme="0"/>
              </font>
              <fill>
                <patternFill>
                  <bgColor theme="0"/>
                </patternFill>
              </fill>
              <border>
                <left/>
                <right/>
                <top/>
                <bottom/>
              </border>
            </x14:dxf>
          </x14:cfRule>
          <x14:cfRule type="expression" priority="5" id="{8DD67537-AEBC-B741-92F0-D9AE85EE9B96}">
            <xm:f>Admin!$H$9="Off"</xm:f>
            <x14:dxf>
              <font>
                <color theme="0"/>
              </font>
              <fill>
                <patternFill>
                  <bgColor theme="0"/>
                </patternFill>
              </fill>
              <border>
                <left/>
                <right/>
                <top/>
                <bottom/>
              </border>
            </x14:dxf>
          </x14:cfRule>
          <xm:sqref>C3:V56</xm:sqref>
        </x14:conditionalFormatting>
        <x14:conditionalFormatting xmlns:xm="http://schemas.microsoft.com/office/excel/2006/main">
          <x14:cfRule type="expression" priority="163" id="{2656BB7A-9C44-DF4D-9519-A8C3F132AB2F}">
            <xm:f>AND($C10&lt;&gt;"",$C10='Drop List'!$B$135,Admin!$H$63="On")</xm:f>
            <x14:dxf>
              <font>
                <color rgb="FF6ABC4A"/>
              </font>
              <fill>
                <patternFill>
                  <bgColor rgb="FF6ABC4A"/>
                </patternFill>
              </fill>
            </x14:dxf>
          </x14:cfRule>
          <x14:cfRule type="expression" priority="143" id="{F46A6253-7309-D345-BC06-579435B843C3}">
            <xm:f>AND($C11&lt;&gt;"",$C11='Drop List'!$B$141,Admin!$H$63="On")</xm:f>
            <x14:dxf>
              <font>
                <color rgb="FF2AA6CC"/>
              </font>
              <fill>
                <patternFill>
                  <bgColor rgb="FF2AA6CC"/>
                </patternFill>
              </fill>
            </x14:dxf>
          </x14:cfRule>
          <x14:cfRule type="expression" priority="13" id="{F02491E7-DADB-BE49-A7DA-27E81C22A3B0}">
            <xm:f>AND($C11&lt;&gt;"",$C11='Drop List'!$B$162,Admin!$H$63="On")</xm:f>
            <x14:dxf>
              <font>
                <color rgb="FF009193"/>
              </font>
              <fill>
                <patternFill>
                  <bgColor rgb="FF009193"/>
                </patternFill>
              </fill>
            </x14:dxf>
          </x14:cfRule>
          <x14:cfRule type="expression" priority="108" id="{08F75E1C-1C39-6148-BD8E-EAC3383ED63F}">
            <xm:f>AND($C10&lt;&gt;"",$C10='Drop List'!$B$145,Admin!$H$63="On")</xm:f>
            <x14:dxf>
              <font>
                <color rgb="FF2BCFD1"/>
              </font>
              <fill>
                <patternFill>
                  <bgColor rgb="FF2BCFD1"/>
                </patternFill>
              </fill>
            </x14:dxf>
          </x14:cfRule>
          <x14:cfRule type="expression" priority="15" id="{B9C3D275-3A8E-EB40-95DD-52203764229B}">
            <xm:f>AND($C10&lt;&gt;"",$C10='Drop List'!$B$162,Admin!$H$63="On")</xm:f>
            <x14:dxf>
              <font>
                <color rgb="FF009193"/>
              </font>
              <fill>
                <patternFill>
                  <bgColor rgb="FF009193"/>
                </patternFill>
              </fill>
            </x14:dxf>
          </x14:cfRule>
          <x14:cfRule type="expression" priority="113" id="{F2EF62C4-F654-1E4B-B4BD-8FAC20D8D152}">
            <xm:f>AND($C11&lt;&gt;"",$C11='Drop List'!$B$142,Admin!$H$63="On")</xm:f>
            <x14:dxf>
              <font>
                <color rgb="FF76D7FF"/>
              </font>
              <fill>
                <patternFill>
                  <bgColor rgb="FF76D7FF"/>
                </patternFill>
              </fill>
            </x14:dxf>
          </x14:cfRule>
          <x14:cfRule type="expression" priority="207" id="{4ED8C201-3C69-EC46-8D9F-F1F252335631}">
            <xm:f>IF(AND((MOD((ROW($C11)-12)/4,1)=0),Admin!$H$61="On",$P11&lt;&gt;""),TRUE,FALSE)</xm:f>
            <x14:dxf>
              <fill>
                <patternFill>
                  <bgColor theme="0" tint="-4.9989318521683403E-2"/>
                </patternFill>
              </fill>
            </x14:dxf>
          </x14:cfRule>
          <x14:cfRule type="expression" priority="19" id="{F01A41F3-5C3F-E14D-90A0-3F867289905C}">
            <xm:f>AND($C11&lt;&gt;"",$C11='Drop List'!$B$161,Admin!$H$63="On")</xm:f>
            <x14:dxf>
              <font>
                <color rgb="FF005493"/>
              </font>
              <fill>
                <patternFill>
                  <bgColor rgb="FF005493"/>
                </patternFill>
              </fill>
            </x14:dxf>
          </x14:cfRule>
          <x14:cfRule type="expression" priority="206" id="{2B48FACC-1EE9-B247-B9A1-EF90778A7FBE}">
            <xm:f>IF(AND((MOD((ROW($C11)-11)/4,1)=0),Admin!$H$61="On",$P11&lt;&gt;""),TRUE,FALSE)</xm:f>
            <x14:dxf>
              <fill>
                <patternFill>
                  <bgColor theme="0" tint="-4.9989318521683403E-2"/>
                </patternFill>
              </fill>
            </x14:dxf>
          </x14:cfRule>
          <x14:cfRule type="expression" priority="21" id="{04EB29D1-857D-D346-AF79-35E1FFC4465F}">
            <xm:f>AND($C10&lt;&gt;"",$C10='Drop List'!$B$161,Admin!$H$63="On")</xm:f>
            <x14:dxf>
              <font>
                <color rgb="FF005493"/>
              </font>
              <fill>
                <patternFill>
                  <bgColor rgb="FF005493"/>
                </patternFill>
              </fill>
            </x14:dxf>
          </x14:cfRule>
          <x14:cfRule type="expression" priority="203" id="{B3E7B749-1C5C-C340-81D2-07601B30B00B}">
            <xm:f>IF(AND((MOD((ROW($C11)-12)/4,1)=0),Admin!$P$61="On",Admin!$H$61="On",($C10=VLOOKUP($C10,InfusionsList,1,FALSE))),TRUE,FALSE)</xm:f>
            <x14:dxf>
              <fill>
                <patternFill>
                  <bgColor rgb="FFF2F2FF"/>
                </patternFill>
              </fill>
            </x14:dxf>
          </x14:cfRule>
          <x14:cfRule type="expression" priority="106" id="{0497C4CB-C53A-414B-A5D1-36ED14E5BE9D}">
            <xm:f>AND($C11&lt;&gt;"",$C11='Drop List'!$B$145,Admin!$H$63="On")</xm:f>
            <x14:dxf>
              <font>
                <color rgb="FF2BCFD1"/>
              </font>
              <fill>
                <patternFill>
                  <bgColor rgb="FF2BCFD1"/>
                </patternFill>
              </fill>
            </x14:dxf>
          </x14:cfRule>
          <x14:cfRule type="expression" priority="197" id="{8A9DBE02-A4F2-C945-9AEA-9EEA004F0FD8}">
            <xm:f>IF(AND((MOD((ROW($C11)-11)/4,1)=0),Admin!$P$61="On",Admin!$H$61="On",($C11=VLOOKUP($C11,InfusionsList,1,FALSE))),TRUE,FALSE)</xm:f>
            <x14:dxf>
              <fill>
                <patternFill>
                  <bgColor rgb="FFF2F2FF"/>
                </patternFill>
              </fill>
            </x14:dxf>
          </x14:cfRule>
          <x14:cfRule type="expression" priority="25" id="{45485FB9-D063-E643-9D22-F12831D7FD0F}">
            <xm:f>AND($C11&lt;&gt;"",$C11='Drop List'!$B$160,Admin!$H$63="On")</xm:f>
            <x14:dxf>
              <font>
                <color rgb="FFA8C46A"/>
              </font>
              <fill>
                <patternFill>
                  <bgColor rgb="FFA8C46A"/>
                </patternFill>
              </fill>
            </x14:dxf>
          </x14:cfRule>
          <x14:cfRule type="expression" priority="115" id="{86F22011-9273-524C-9202-F085DDCE2805}">
            <xm:f>AND($C10&lt;&gt;"",$C10='Drop List'!$B$142,Admin!$H$63="On")</xm:f>
            <x14:dxf>
              <font>
                <color rgb="FF76D7FF"/>
              </font>
              <fill>
                <patternFill>
                  <bgColor rgb="FF76D7FF"/>
                </patternFill>
              </fill>
            </x14:dxf>
          </x14:cfRule>
          <x14:cfRule type="expression" priority="27" id="{5D945D6E-5678-A145-8F04-A582ED03087A}">
            <xm:f>AND($C10&lt;&gt;"",$C10='Drop List'!$B$160,Admin!$H$63="On")</xm:f>
            <x14:dxf>
              <font>
                <color rgb="FFA8C46A"/>
              </font>
              <fill>
                <patternFill>
                  <bgColor rgb="FFA8C46A"/>
                </patternFill>
              </fill>
            </x14:dxf>
          </x14:cfRule>
          <x14:cfRule type="expression" priority="102" id="{8DB8B370-8982-364A-894C-D44C271EBCAD}">
            <xm:f>AND($C10&lt;&gt;"",$C10='Drop List'!$B$146,Admin!$H$63="On")</xm:f>
            <x14:dxf>
              <font>
                <color rgb="FF595959"/>
              </font>
              <fill>
                <patternFill>
                  <bgColor rgb="FF595959"/>
                </patternFill>
              </fill>
            </x14:dxf>
          </x14:cfRule>
          <x14:cfRule type="expression" priority="119" id="{D739CA26-F2B5-E74E-8D4A-2DEE7B65456D}">
            <xm:f>AND($C11&lt;&gt;"",$C11='Drop List'!$B$140,Admin!$H$63="On")</xm:f>
            <x14:dxf>
              <font>
                <color rgb="FFF69871"/>
              </font>
              <fill>
                <patternFill>
                  <bgColor rgb="FFF69871"/>
                </patternFill>
              </fill>
            </x14:dxf>
          </x14:cfRule>
          <x14:cfRule type="expression" priority="31" id="{49FAE577-26F0-4A46-AAEE-6563AF26E873}">
            <xm:f>AND($C11&lt;&gt;"",$C11='Drop List'!$B$159,Admin!$H$63="On")</xm:f>
            <x14:dxf>
              <font>
                <color rgb="FFD8B545"/>
              </font>
              <fill>
                <patternFill>
                  <bgColor rgb="FFD8B545"/>
                </patternFill>
              </fill>
            </x14:dxf>
          </x14:cfRule>
          <x14:cfRule type="expression" priority="33" id="{D2F895A0-4ED1-CA4D-95F7-BDE2E1AA94EC}">
            <xm:f>AND($C10&lt;&gt;"",$C10='Drop List'!$B$159,Admin!$H$63="On")</xm:f>
            <x14:dxf>
              <font>
                <color rgb="FFD8B545"/>
              </font>
              <fill>
                <patternFill>
                  <bgColor rgb="FFD8B545"/>
                </patternFill>
              </fill>
            </x14:dxf>
          </x14:cfRule>
          <x14:cfRule type="expression" priority="100" id="{67FCB235-7020-5445-97BB-1514045B55D7}">
            <xm:f>AND($C11&lt;&gt;"",$C11='Drop List'!$B$146,Admin!$H$63="On")</xm:f>
            <x14:dxf>
              <font>
                <color rgb="FF595959"/>
              </font>
              <fill>
                <patternFill>
                  <bgColor rgb="FF595959"/>
                </patternFill>
              </fill>
            </x14:dxf>
          </x14:cfRule>
          <x14:cfRule type="expression" priority="121" id="{832C2453-E3AF-E846-BA14-8C17458E6891}">
            <xm:f>AND($C10&lt;&gt;"",$C10='Drop List'!$B$140,Admin!$H$63="On")</xm:f>
            <x14:dxf>
              <font>
                <color rgb="FFF69871"/>
              </font>
              <fill>
                <patternFill>
                  <bgColor rgb="FFF69871"/>
                </patternFill>
              </fill>
            </x14:dxf>
          </x14:cfRule>
          <x14:cfRule type="expression" priority="181" id="{F073A31D-DC1E-914B-9532-EF2797966312}">
            <xm:f>AND($C10&lt;&gt;"",$C10='Drop List'!$B$139,Admin!$H$63="On")</xm:f>
            <x14:dxf>
              <font>
                <color rgb="FFEC3650"/>
              </font>
              <fill>
                <patternFill>
                  <bgColor rgb="FFEC3650"/>
                </patternFill>
              </fill>
            </x14:dxf>
          </x14:cfRule>
          <x14:cfRule type="expression" priority="37" id="{DE6CDFE8-75C8-224D-A254-421251579E80}">
            <xm:f>AND($C11&lt;&gt;"",$C11='Drop List'!$B$158,Admin!$H$63="On")</xm:f>
            <x14:dxf>
              <font>
                <color rgb="FFFC8EB5"/>
              </font>
              <fill>
                <patternFill>
                  <bgColor rgb="FFFC8EB5"/>
                </patternFill>
              </fill>
            </x14:dxf>
          </x14:cfRule>
          <x14:cfRule type="expression" priority="179" id="{C31F8C61-EC1E-3A4B-B39B-75887C129A4F}">
            <xm:f>AND($C11&lt;&gt;"",$C11='Drop List'!$B$139,Admin!$H$63="On")</xm:f>
            <x14:dxf>
              <font>
                <color rgb="FFEC3650"/>
              </font>
              <fill>
                <patternFill>
                  <bgColor rgb="FFEC3650"/>
                </patternFill>
              </fill>
            </x14:dxf>
          </x14:cfRule>
          <x14:cfRule type="expression" priority="39" id="{57723EB5-DD66-4845-9A5C-409F3A6E4633}">
            <xm:f>AND($C10&lt;&gt;"",$C10='Drop List'!$B$158,Admin!$H$63="On")</xm:f>
            <x14:dxf>
              <font>
                <color rgb="FFFC8EB5"/>
              </font>
              <fill>
                <patternFill>
                  <bgColor rgb="FFFC8EB5"/>
                </patternFill>
              </fill>
            </x14:dxf>
          </x14:cfRule>
          <x14:cfRule type="expression" priority="96" id="{79019D54-2CD2-694A-AA6D-E7617D24BBB4}">
            <xm:f>AND($C10&lt;&gt;"",$C10='Drop List'!$B$147,Admin!$H$63="On")</xm:f>
            <x14:dxf>
              <font>
                <color rgb="FFF45E41"/>
              </font>
              <fill>
                <patternFill>
                  <bgColor rgb="FFF45E41"/>
                </patternFill>
              </fill>
            </x14:dxf>
          </x14:cfRule>
          <x14:cfRule type="expression" priority="125" id="{87D68741-7734-B043-92E4-93070BFA36B7}">
            <xm:f>AND($C11&lt;&gt;"",$C11='Drop List'!$B$138,Admin!$H$63="On")</xm:f>
            <x14:dxf>
              <font>
                <color rgb="FFF03A63"/>
              </font>
              <fill>
                <patternFill>
                  <bgColor rgb="FFF03A63"/>
                </patternFill>
              </fill>
            </x14:dxf>
          </x14:cfRule>
          <x14:cfRule type="expression" priority="175" id="{9941E0F7-7CA5-4F48-A1DC-46575ED019A2}">
            <xm:f>AND($C10&lt;&gt;"",$C10='Drop List'!$B$150,Admin!$H$63="On")</xm:f>
            <x14:dxf>
              <font>
                <color rgb="FF3981C7"/>
              </font>
              <fill>
                <patternFill>
                  <bgColor rgb="FF3981C7"/>
                </patternFill>
              </fill>
            </x14:dxf>
          </x14:cfRule>
          <x14:cfRule type="expression" priority="45" id="{6FD72469-6B46-8248-BD7D-C8AC01BEFB10}">
            <xm:f>AND($C11&lt;&gt;"",$C11='Drop List'!$B$157,Admin!$H$63="On")</xm:f>
            <x14:dxf>
              <font>
                <color rgb="FFE794C8"/>
              </font>
              <fill>
                <patternFill>
                  <bgColor rgb="FFE794C8"/>
                </patternFill>
              </fill>
            </x14:dxf>
          </x14:cfRule>
          <x14:cfRule type="expression" priority="173" id="{341B1CD7-677C-D044-856B-575025F77C0A}">
            <xm:f>AND($C11&lt;&gt;"",$C11='Drop List'!$B$150,Admin!$H$63="On")</xm:f>
            <x14:dxf>
              <font>
                <color rgb="FF3981C7"/>
              </font>
              <fill>
                <patternFill>
                  <bgColor rgb="FF3981C7"/>
                </patternFill>
              </fill>
            </x14:dxf>
          </x14:cfRule>
          <x14:cfRule type="expression" priority="47" id="{D0377A6B-E4FE-6B48-B8CA-3EA02BA810D2}">
            <xm:f>AND($C10&lt;&gt;"",$C10='Drop List'!$B$157,Admin!$H$63="On")</xm:f>
            <x14:dxf>
              <font>
                <color rgb="FFE794C8"/>
              </font>
              <fill>
                <patternFill>
                  <bgColor rgb="FFE794C8"/>
                </patternFill>
              </fill>
            </x14:dxf>
          </x14:cfRule>
          <x14:cfRule type="expression" priority="94" id="{3CECA8CF-1270-6543-B46D-4898046C2CB6}">
            <xm:f>AND($C11&lt;&gt;"",$C11='Drop List'!$B$147,Admin!$H$63="On")</xm:f>
            <x14:dxf>
              <font>
                <color rgb="FFF45E41"/>
              </font>
              <fill>
                <patternFill>
                  <bgColor rgb="FFF45E41"/>
                </patternFill>
              </fill>
            </x14:dxf>
          </x14:cfRule>
          <x14:cfRule type="expression" priority="127" id="{6C9AAF88-BA40-C245-96F0-FF269C558AC7}">
            <xm:f>AND($C10&lt;&gt;"",$C10='Drop List'!$B$138,Admin!$H$63="On")</xm:f>
            <x14:dxf>
              <font>
                <color rgb="FFF03A63"/>
              </font>
              <fill>
                <patternFill>
                  <bgColor rgb="FFF03A63"/>
                </patternFill>
              </fill>
            </x14:dxf>
          </x14:cfRule>
          <x14:cfRule type="expression" priority="169" id="{41311100-76B9-FC4C-8B9D-3734F9A4ED4B}">
            <xm:f>AND($C10&lt;&gt;"",$C10='Drop List'!$B$143,Admin!$H$63="On")</xm:f>
            <x14:dxf>
              <font>
                <color rgb="FFFCBC18"/>
              </font>
              <fill>
                <patternFill>
                  <bgColor rgb="FFFCBC18"/>
                </patternFill>
              </fill>
            </x14:dxf>
          </x14:cfRule>
          <x14:cfRule type="expression" priority="51" id="{9E71448B-30D6-1441-8D83-39D3304D1A7E}">
            <xm:f>AND($C11&lt;&gt;"",$C11='Drop List'!$B$156,Admin!$H$63="On")</xm:f>
            <x14:dxf>
              <font>
                <color rgb="FFCBA1DA"/>
              </font>
              <fill>
                <patternFill>
                  <bgColor rgb="FFCBA1DA"/>
                </patternFill>
              </fill>
            </x14:dxf>
          </x14:cfRule>
          <x14:cfRule type="expression" priority="167" id="{49A36884-E23F-A949-A6C9-F74448BA0098}">
            <xm:f>AND($C11&lt;&gt;"",$C11='Drop List'!$B$143,Admin!$H$63="On")</xm:f>
            <x14:dxf>
              <font>
                <color rgb="FFFCBC18"/>
              </font>
              <fill>
                <patternFill>
                  <bgColor rgb="FFFCBC18"/>
                </patternFill>
              </fill>
            </x14:dxf>
          </x14:cfRule>
          <x14:cfRule type="expression" priority="53" id="{7104D4D1-0F74-254F-B863-3C4A94DC2048}">
            <xm:f>AND($C10&lt;&gt;"",$C10='Drop List'!$B$156,Admin!$H$63="On")</xm:f>
            <x14:dxf>
              <font>
                <color rgb="FFCBA1DA"/>
              </font>
              <fill>
                <patternFill>
                  <bgColor rgb="FFCBA1DA"/>
                </patternFill>
              </fill>
            </x14:dxf>
          </x14:cfRule>
          <x14:cfRule type="expression" priority="90" id="{1265251C-8F21-3142-8946-88C07E4B186F}">
            <xm:f>AND($C10&lt;&gt;"",$C10='Drop List'!$B$148,Admin!$H$63="On")</xm:f>
            <x14:dxf>
              <font>
                <color rgb="FF00FB92"/>
              </font>
              <fill>
                <patternFill>
                  <bgColor rgb="FF00FB92"/>
                </patternFill>
              </fill>
            </x14:dxf>
          </x14:cfRule>
          <x14:cfRule type="expression" priority="131" id="{1247F01F-9127-F948-A8F2-678BBBAECEA9}">
            <xm:f>AND($C11&lt;&gt;"",$C11='Drop List'!$B$137,Admin!$H$63="On")</xm:f>
            <x14:dxf>
              <font>
                <color rgb="FFFF7CA9"/>
              </font>
              <fill>
                <patternFill>
                  <bgColor rgb="FFFF7CA9"/>
                </patternFill>
              </fill>
            </x14:dxf>
          </x14:cfRule>
          <x14:cfRule type="expression" priority="57" id="{02C7F5AF-DEFC-8F4B-8D25-7F6DF99D4613}">
            <xm:f>AND($C11&lt;&gt;"",$C11='Drop List'!$B$155,Admin!$H$63="On")</xm:f>
            <x14:dxf>
              <font>
                <color rgb="FF9877C2"/>
              </font>
              <fill>
                <patternFill>
                  <bgColor rgb="FF9877C2"/>
                </patternFill>
              </fill>
            </x14:dxf>
          </x14:cfRule>
          <x14:cfRule type="expression" priority="161" id="{845DE79C-1C23-3343-9376-0F5B08A4B6A8}">
            <xm:f>AND($C11&lt;&gt;"",$C11='Drop List'!$B$135,Admin!$H$63="On")</xm:f>
            <x14:dxf>
              <font>
                <color rgb="FF6ABC4A"/>
              </font>
              <fill>
                <patternFill>
                  <bgColor rgb="FF6ABC4A"/>
                </patternFill>
              </fill>
            </x14:dxf>
          </x14:cfRule>
          <x14:cfRule type="expression" priority="59" id="{80E7361E-C93F-B34A-B693-0602FF1D4492}">
            <xm:f>AND($C10&lt;&gt;"",$C10='Drop List'!$B$155,Admin!$H$63="On")</xm:f>
            <x14:dxf>
              <font>
                <color rgb="FF9877C2"/>
              </font>
              <fill>
                <patternFill>
                  <bgColor rgb="FF9877C2"/>
                </patternFill>
              </fill>
            </x14:dxf>
          </x14:cfRule>
          <x14:cfRule type="expression" priority="88" id="{E82DDC84-3F38-FF4E-8658-9B9188EC527D}">
            <xm:f>AND($C11&lt;&gt;"",$C11='Drop List'!$B$148,Admin!$H$63="On")</xm:f>
            <x14:dxf>
              <font>
                <color rgb="FF00FB92"/>
              </font>
              <fill>
                <patternFill>
                  <bgColor rgb="FF00FB92"/>
                </patternFill>
              </fill>
            </x14:dxf>
          </x14:cfRule>
          <x14:cfRule type="expression" priority="133" id="{461CDE25-C933-174A-9EA3-C11632E63999}">
            <xm:f>AND($C10&lt;&gt;"",$C10='Drop List'!$B$137,Admin!$H$63="On")</xm:f>
            <x14:dxf>
              <font>
                <color rgb="FFFF7CA9"/>
              </font>
              <fill>
                <patternFill>
                  <bgColor rgb="FFFF7CA9"/>
                </patternFill>
              </fill>
            </x14:dxf>
          </x14:cfRule>
          <x14:cfRule type="expression" priority="157" id="{A15F8975-6678-0E4E-87BF-B53380E387E9}">
            <xm:f>AND($C10&lt;&gt;"",$C10='Drop List'!$B$144,Admin!$H$63="On")</xm:f>
            <x14:dxf>
              <font>
                <color rgb="FF5862B8"/>
              </font>
              <fill>
                <patternFill>
                  <bgColor rgb="FF5862B8"/>
                </patternFill>
              </fill>
            </x14:dxf>
          </x14:cfRule>
          <x14:cfRule type="expression" priority="64" id="{C953FDB1-C553-1045-8644-489DD9167D13}">
            <xm:f>AND($C11&lt;&gt;"",$C11='Drop List'!$B$154,Admin!$H$63="On")</xm:f>
            <x14:dxf>
              <font>
                <color rgb="FFFFFF99"/>
              </font>
              <fill>
                <patternFill>
                  <bgColor rgb="FFFFFF99"/>
                </patternFill>
              </fill>
            </x14:dxf>
          </x14:cfRule>
          <x14:cfRule type="expression" priority="155" id="{3ADDC498-74CA-DF47-B037-D15D64699D76}">
            <xm:f>AND($C11&lt;&gt;"",$C11='Drop List'!$B$144,Admin!$H$63="On")</xm:f>
            <x14:dxf>
              <font>
                <color rgb="FF5862B8"/>
              </font>
              <fill>
                <patternFill>
                  <bgColor rgb="FF5862B8"/>
                </patternFill>
              </fill>
            </x14:dxf>
          </x14:cfRule>
          <x14:cfRule type="expression" priority="66" id="{08800F5D-D9D3-A24E-A772-0E9C5386640B}">
            <xm:f>AND($C10&lt;&gt;"",$C10='Drop List'!$B$154,Admin!$H$63="On")</xm:f>
            <x14:dxf>
              <font>
                <color rgb="FFFFFF99"/>
              </font>
              <fill>
                <patternFill>
                  <bgColor rgb="FFFFFF99"/>
                </patternFill>
              </fill>
            </x14:dxf>
          </x14:cfRule>
          <x14:cfRule type="expression" priority="84" id="{B61AFF4B-2201-8C4C-B7CB-CDDB5493A6D8}">
            <xm:f>AND($C10&lt;&gt;"",$C10='Drop List'!$B$149,Admin!$H$63="On")</xm:f>
            <x14:dxf>
              <font>
                <color theme="1"/>
              </font>
              <fill>
                <patternFill>
                  <bgColor theme="1"/>
                </patternFill>
              </fill>
            </x14:dxf>
          </x14:cfRule>
          <x14:cfRule type="expression" priority="137" id="{82F0540D-D054-A542-AA62-3A79A338B336}">
            <xm:f>AND($C11&lt;&gt;"",$C11='Drop List'!$B$136,Admin!$H$63="On")</xm:f>
            <x14:dxf>
              <font>
                <color rgb="FFFFD966"/>
              </font>
              <fill>
                <patternFill>
                  <bgColor rgb="FFFFD966"/>
                </patternFill>
              </fill>
            </x14:dxf>
          </x14:cfRule>
          <x14:cfRule type="expression" priority="151" id="{9499AB6E-4E5B-EC41-B165-A766BF60B2A8}">
            <xm:f>AND($C10&lt;&gt;"",$C10='Drop List'!$B$153,Admin!$H$63="On")</xm:f>
            <x14:dxf>
              <font>
                <color rgb="FFF4448D"/>
              </font>
              <fill>
                <patternFill>
                  <bgColor rgb="FFF4448D"/>
                </patternFill>
              </fill>
            </x14:dxf>
          </x14:cfRule>
          <x14:cfRule type="expression" priority="70" id="{1FCD90E6-E791-7C4A-A724-9FDB74CF98C7}">
            <xm:f>AND($C11&lt;&gt;"",$C11='Drop List'!$B$152,Admin!$H$63="On")</xm:f>
            <x14:dxf>
              <font>
                <color rgb="FFF5B084"/>
              </font>
              <fill>
                <patternFill>
                  <bgColor rgb="FFF5B084"/>
                </patternFill>
              </fill>
            </x14:dxf>
          </x14:cfRule>
          <x14:cfRule type="expression" priority="149" id="{4A9437BE-CEF1-4E44-8E6E-7D8F9B9837D7}">
            <xm:f>AND($C11&lt;&gt;"",$C11='Drop List'!$B$153,Admin!$H$63="On")</xm:f>
            <x14:dxf>
              <font>
                <color rgb="FFF4448D"/>
              </font>
              <fill>
                <patternFill>
                  <bgColor rgb="FFF4448D"/>
                </patternFill>
              </fill>
            </x14:dxf>
          </x14:cfRule>
          <x14:cfRule type="expression" priority="72" id="{24BEBB4B-C2FB-9947-81A5-A78DDB71006B}">
            <xm:f>AND($C10&lt;&gt;"",$C10='Drop List'!$B$152,Admin!$H$63="On")</xm:f>
            <x14:dxf>
              <font>
                <color rgb="FFF5B084"/>
              </font>
              <fill>
                <patternFill>
                  <bgColor rgb="FFF5B084"/>
                </patternFill>
              </fill>
            </x14:dxf>
          </x14:cfRule>
          <x14:cfRule type="expression" priority="82" id="{7A995072-E21C-EF4B-AC94-C76236A2AFC1}">
            <xm:f>AND($C11&lt;&gt;"",$C11='Drop List'!$B$149,Admin!$H$63="On")</xm:f>
            <x14:dxf>
              <font>
                <color theme="1"/>
              </font>
              <fill>
                <patternFill>
                  <bgColor theme="1"/>
                </patternFill>
              </fill>
            </x14:dxf>
          </x14:cfRule>
          <x14:cfRule type="expression" priority="139" id="{74413D9E-8AF6-E24F-BE0E-846C573B741B}">
            <xm:f>AND($C10&lt;&gt;"",$C10='Drop List'!$B$136,Admin!$H$63="On")</xm:f>
            <x14:dxf>
              <font>
                <color rgb="FFFFD966"/>
              </font>
              <fill>
                <patternFill>
                  <bgColor rgb="FFFFD966"/>
                </patternFill>
              </fill>
            </x14:dxf>
          </x14:cfRule>
          <x14:cfRule type="expression" priority="145" id="{72402E7A-F9A4-B84E-858D-0E477D13EA8F}">
            <xm:f>AND($C10&lt;&gt;"",$C10='Drop List'!$B$141,Admin!$H$63="On")</xm:f>
            <x14:dxf>
              <font>
                <color rgb="FF2AA6CC"/>
              </font>
              <fill>
                <patternFill>
                  <bgColor rgb="FF2AA6CC"/>
                </patternFill>
              </fill>
            </x14:dxf>
          </x14:cfRule>
          <x14:cfRule type="expression" priority="76" id="{63DE173A-96F3-2E41-B6FF-55C90D9B0E0B}">
            <xm:f>AND($C11&lt;&gt;"",$C11='Drop List'!$B$151,Admin!$H$63="On")</xm:f>
            <x14:dxf>
              <font>
                <color rgb="FFA7499A"/>
              </font>
              <fill>
                <patternFill>
                  <bgColor rgb="FFA7499A"/>
                </patternFill>
              </fill>
            </x14:dxf>
          </x14:cfRule>
          <x14:cfRule type="expression" priority="78" id="{70AC356B-6925-B344-AEB4-DBE1EC7FC964}">
            <xm:f>AND($C10&lt;&gt;"",$C10='Drop List'!$B$151,Admin!$H$63="On")</xm:f>
            <x14:dxf>
              <font>
                <color rgb="FFA7499A"/>
              </font>
              <fill>
                <patternFill>
                  <bgColor rgb="FFA7499A"/>
                </patternFill>
              </fill>
            </x14:dxf>
          </x14:cfRule>
          <xm:sqref>C11:V56</xm:sqref>
        </x14:conditionalFormatting>
        <x14:conditionalFormatting xmlns:xm="http://schemas.microsoft.com/office/excel/2006/main">
          <x14:cfRule type="expression" priority="110" id="{926D0F0D-93A3-C844-8750-0C8F6204FABF}">
            <xm:f>AND($J11&lt;&gt;"",$J11='Drop List'!$B$142,Admin!$H$63="On")</xm:f>
            <x14:dxf>
              <font>
                <b/>
                <i val="0"/>
                <color theme="1"/>
              </font>
              <fill>
                <patternFill>
                  <bgColor rgb="FF76D7FF"/>
                </patternFill>
              </fill>
              <border>
                <left/>
                <right/>
                <top style="thin">
                  <color auto="1"/>
                </top>
                <bottom style="thin">
                  <color auto="1"/>
                </bottom>
                <vertical/>
                <horizontal/>
              </border>
            </x14:dxf>
          </x14:cfRule>
          <x14:cfRule type="expression" priority="17" id="{B17902B8-EA78-7D49-89B6-9E563387E074}">
            <xm:f>AND($J11&lt;&gt;"",$J11='Drop List'!$B$161,Admin!$H$63="On")</xm:f>
            <x14:dxf>
              <font>
                <b/>
                <i val="0"/>
                <color theme="0"/>
              </font>
              <fill>
                <patternFill>
                  <bgColor rgb="FF005493"/>
                </patternFill>
              </fill>
              <border>
                <left/>
                <right/>
                <top style="thin">
                  <color auto="1"/>
                </top>
                <bottom style="thin">
                  <color auto="1"/>
                </bottom>
                <vertical/>
                <horizontal/>
              </border>
            </x14:dxf>
          </x14:cfRule>
          <x14:cfRule type="expression" priority="80" id="{82E53AEF-DB3B-1D46-B1BE-A48267880158}">
            <xm:f>AND($J11&lt;&gt;"",$J11='Drop List'!$B$149,Admin!$H$63="On")</xm:f>
            <x14:dxf>
              <font>
                <b/>
                <i val="0"/>
                <color theme="0"/>
              </font>
              <fill>
                <patternFill>
                  <bgColor theme="1"/>
                </patternFill>
              </fill>
              <border>
                <left/>
                <right/>
                <top style="thin">
                  <color auto="1"/>
                </top>
                <bottom style="thin">
                  <color auto="1"/>
                </bottom>
                <vertical/>
                <horizontal/>
              </border>
            </x14:dxf>
          </x14:cfRule>
          <x14:cfRule type="expression" priority="74" id="{7E6D76EC-130F-6B4B-AE0F-18F527B75BA5}">
            <xm:f>AND($J11&lt;&gt;"",$J11='Drop List'!$B$151,Admin!$H$63="On")</xm:f>
            <x14:dxf>
              <font>
                <b/>
                <i val="0"/>
                <color theme="0"/>
              </font>
              <fill>
                <patternFill>
                  <bgColor rgb="FFA7499A"/>
                </patternFill>
              </fill>
              <border>
                <left/>
                <right/>
                <top style="thin">
                  <color auto="1"/>
                </top>
                <bottom style="thin">
                  <color auto="1"/>
                </bottom>
                <vertical/>
                <horizontal/>
              </border>
            </x14:dxf>
          </x14:cfRule>
          <x14:cfRule type="expression" priority="147" id="{ABAF09A5-3D93-8D43-9363-05BF4550EA53}">
            <xm:f>AND($J11&lt;&gt;"",$J11='Drop List'!$B$153,Admin!$H$63="On")</xm:f>
            <x14:dxf>
              <font>
                <b/>
                <i val="0"/>
                <color theme="1"/>
              </font>
              <fill>
                <patternFill>
                  <bgColor rgb="FFF4448D"/>
                </patternFill>
              </fill>
              <border>
                <left/>
                <right/>
                <top style="thin">
                  <color auto="1"/>
                </top>
                <bottom style="thin">
                  <color auto="1"/>
                </bottom>
                <vertical/>
                <horizontal/>
              </border>
            </x14:dxf>
          </x14:cfRule>
          <x14:cfRule type="expression" priority="68" id="{2B8BE872-9C09-7E4A-9DD2-42584EF7F88E}">
            <xm:f>AND($J11&lt;&gt;"",$J11='Drop List'!$B$152,Admin!$H$63="On")</xm:f>
            <x14:dxf>
              <font>
                <b/>
                <i val="0"/>
                <color theme="1"/>
              </font>
              <fill>
                <patternFill>
                  <bgColor rgb="FFF5B084"/>
                </patternFill>
              </fill>
              <border>
                <left/>
                <right/>
                <top style="thin">
                  <color auto="1"/>
                </top>
                <bottom style="thin">
                  <color auto="1"/>
                </bottom>
                <vertical/>
                <horizontal/>
              </border>
            </x14:dxf>
          </x14:cfRule>
          <x14:cfRule type="expression" priority="153" id="{8DCA09FA-6844-3A46-9E59-B88FC61C3C07}">
            <xm:f>AND($J11&lt;&gt;"",$J11='Drop List'!$B$144,Admin!$H$63="On")</xm:f>
            <x14:dxf>
              <font>
                <b/>
                <i val="0"/>
                <color theme="0"/>
              </font>
              <fill>
                <patternFill>
                  <bgColor rgb="FF5862B8"/>
                </patternFill>
              </fill>
              <border>
                <left/>
                <right/>
                <top style="thin">
                  <color auto="1"/>
                </top>
                <bottom style="thin">
                  <color auto="1"/>
                </bottom>
                <vertical/>
                <horizontal/>
              </border>
            </x14:dxf>
          </x14:cfRule>
          <x14:cfRule type="expression" priority="135" id="{2361C17E-C6CA-6E46-9090-607D42C71CF1}">
            <xm:f>AND($J11&lt;&gt;"",$J11='Drop List'!$B$136,Admin!$H$63="On")</xm:f>
            <x14:dxf>
              <font>
                <b/>
                <i val="0"/>
                <color theme="1"/>
              </font>
              <fill>
                <patternFill>
                  <bgColor rgb="FFFFD966"/>
                </patternFill>
              </fill>
              <border>
                <left/>
                <right/>
                <top style="thin">
                  <color auto="1"/>
                </top>
                <bottom style="thin">
                  <color auto="1"/>
                </bottom>
                <vertical/>
                <horizontal/>
              </border>
            </x14:dxf>
          </x14:cfRule>
          <x14:cfRule type="expression" priority="86" id="{9A25FAE8-FCB6-F74A-8564-D3AEA1D65041}">
            <xm:f>AND($J11&lt;&gt;"",$J11='Drop List'!$B$148,Admin!$H$63="On")</xm:f>
            <x14:dxf>
              <font>
                <b/>
                <i val="0"/>
                <color theme="1"/>
              </font>
              <fill>
                <patternFill>
                  <bgColor rgb="FF00FB92"/>
                </patternFill>
              </fill>
              <border>
                <left/>
                <right/>
                <top style="thin">
                  <color auto="1"/>
                </top>
                <bottom style="thin">
                  <color auto="1"/>
                </bottom>
                <vertical/>
                <horizontal/>
              </border>
            </x14:dxf>
          </x14:cfRule>
          <x14:cfRule type="expression" priority="62" id="{F6E01568-A747-1C4E-A827-79A689C3F58E}">
            <xm:f>AND($J11&lt;&gt;"",$J11='Drop List'!$B$154,Admin!$H$63="On")</xm:f>
            <x14:dxf>
              <font>
                <b/>
                <i val="0"/>
                <color theme="1"/>
              </font>
              <fill>
                <patternFill>
                  <bgColor rgb="FFFFFF99"/>
                </patternFill>
              </fill>
              <border>
                <left/>
                <right/>
                <top style="thin">
                  <color auto="1"/>
                </top>
                <bottom style="thin">
                  <color auto="1"/>
                </bottom>
                <vertical/>
                <horizontal/>
              </border>
            </x14:dxf>
          </x14:cfRule>
          <x14:cfRule type="expression" priority="159" id="{AE96C97B-2F4D-C544-9DC3-54C715FCFCD7}">
            <xm:f>AND($J11&lt;&gt;"",$J11='Drop List'!$B$135,Admin!$H$63="On")</xm:f>
            <x14:dxf>
              <font>
                <b/>
                <i val="0"/>
                <color theme="1"/>
              </font>
              <fill>
                <patternFill>
                  <bgColor rgb="FF6ABC4A"/>
                </patternFill>
              </fill>
              <border>
                <left/>
                <right/>
                <top style="thin">
                  <color auto="1"/>
                </top>
                <bottom style="thin">
                  <color auto="1"/>
                </bottom>
                <vertical/>
                <horizontal/>
              </border>
            </x14:dxf>
          </x14:cfRule>
          <x14:cfRule type="expression" priority="55" id="{5B40545D-DA3B-E648-B033-2D142C40A27F}">
            <xm:f>AND($J11&lt;&gt;"",$J11='Drop List'!$B$155,Admin!$H$63="On")</xm:f>
            <x14:dxf>
              <font>
                <b/>
                <i val="0"/>
                <color theme="1"/>
              </font>
              <fill>
                <patternFill>
                  <bgColor rgb="FF9877C2"/>
                </patternFill>
              </fill>
              <border>
                <left/>
                <right/>
                <top style="thin">
                  <color auto="1"/>
                </top>
                <bottom style="thin">
                  <color auto="1"/>
                </bottom>
                <vertical/>
                <horizontal/>
              </border>
            </x14:dxf>
          </x14:cfRule>
          <x14:cfRule type="expression" priority="165" id="{820D7FC7-F9D5-E547-B8F9-F04605371B9E}">
            <xm:f>AND($J11&lt;&gt;"",$J11='Drop List'!$B$143,Admin!$H$63="On")</xm:f>
            <x14:dxf>
              <font>
                <b/>
                <i val="0"/>
                <color theme="1"/>
              </font>
              <fill>
                <patternFill>
                  <bgColor rgb="FFFCBC18"/>
                </patternFill>
              </fill>
              <border>
                <left/>
                <right/>
                <top style="thin">
                  <color auto="1"/>
                </top>
                <bottom style="thin">
                  <color auto="1"/>
                </bottom>
                <vertical/>
                <horizontal/>
              </border>
            </x14:dxf>
          </x14:cfRule>
          <x14:cfRule type="expression" priority="129" id="{D492DBE8-F1C8-4144-933F-A4279904A71F}">
            <xm:f>AND($J11&lt;&gt;"",$J11='Drop List'!$B$137,Admin!$H$63="On")</xm:f>
            <x14:dxf>
              <font>
                <b/>
                <i val="0"/>
                <color theme="1"/>
              </font>
              <fill>
                <patternFill>
                  <bgColor rgb="FFFF7CA9"/>
                </patternFill>
              </fill>
              <border>
                <left/>
                <right/>
                <top style="thin">
                  <color auto="1"/>
                </top>
                <bottom style="thin">
                  <color auto="1"/>
                </bottom>
                <vertical/>
                <horizontal/>
              </border>
            </x14:dxf>
          </x14:cfRule>
          <x14:cfRule type="expression" priority="92" id="{5A80968A-540F-EF4C-8D42-45A688A23F7C}">
            <xm:f>AND($J11&lt;&gt;"",$J11='Drop List'!$B$147,Admin!$H$63="On")</xm:f>
            <x14:dxf>
              <font>
                <b/>
                <i val="0"/>
                <color theme="1"/>
              </font>
              <fill>
                <patternFill>
                  <bgColor rgb="FFF45E41"/>
                </patternFill>
              </fill>
              <border>
                <left/>
                <right/>
                <top style="thin">
                  <color auto="1"/>
                </top>
                <bottom style="thin">
                  <color auto="1"/>
                </bottom>
                <vertical/>
                <horizontal/>
              </border>
            </x14:dxf>
          </x14:cfRule>
          <x14:cfRule type="expression" priority="49" id="{C8F40D62-D812-CD4F-A84E-50F61902B1C0}">
            <xm:f>AND($J11&lt;&gt;"",$J11='Drop List'!$B$156,Admin!$H$63="On")</xm:f>
            <x14:dxf>
              <font>
                <b/>
                <i val="0"/>
                <color theme="1"/>
              </font>
              <fill>
                <patternFill>
                  <bgColor rgb="FFCBA1DA"/>
                </patternFill>
              </fill>
              <border>
                <left/>
                <right/>
                <top style="thin">
                  <color auto="1"/>
                </top>
                <bottom style="thin">
                  <color auto="1"/>
                </bottom>
                <vertical/>
                <horizontal/>
              </border>
            </x14:dxf>
          </x14:cfRule>
          <x14:cfRule type="expression" priority="171" id="{543F7AA1-E8BE-374A-9140-22DA5BCE4F2E}">
            <xm:f>AND($J11&lt;&gt;"",$J11='Drop List'!$B$150,Admin!$H$63="On")</xm:f>
            <x14:dxf>
              <font>
                <b/>
                <i val="0"/>
                <color theme="0"/>
              </font>
              <fill>
                <patternFill>
                  <bgColor rgb="FF3981C7"/>
                </patternFill>
              </fill>
              <border>
                <left/>
                <right/>
                <top style="thin">
                  <color auto="1"/>
                </top>
                <bottom style="thin">
                  <color auto="1"/>
                </bottom>
                <vertical/>
                <horizontal/>
              </border>
            </x14:dxf>
          </x14:cfRule>
          <x14:cfRule type="expression" priority="42" id="{7F2DBDD4-1BF7-C245-B6CA-289BA93B41CE}">
            <xm:f>AND($J11&lt;&gt;"",$J11='Drop List'!$B$157,Admin!$H$63="On")</xm:f>
            <x14:dxf>
              <font>
                <b/>
                <i val="0"/>
                <color theme="1"/>
              </font>
              <fill>
                <patternFill>
                  <bgColor rgb="FFE794C8"/>
                </patternFill>
              </fill>
              <border>
                <left/>
                <right/>
                <top style="thin">
                  <color auto="1"/>
                </top>
                <bottom style="thin">
                  <color auto="1"/>
                </bottom>
                <vertical/>
                <horizontal/>
              </border>
            </x14:dxf>
          </x14:cfRule>
          <x14:cfRule type="expression" priority="177" id="{AF4B0D65-0B9D-874D-B0B4-DDE1926FE262}">
            <xm:f>AND($J11&lt;&gt;"",$J11='Drop List'!$B$139,Admin!$H$63="On")</xm:f>
            <x14:dxf>
              <font>
                <b/>
                <i val="0"/>
                <color theme="0"/>
              </font>
              <fill>
                <patternFill>
                  <bgColor rgb="FFEC3650"/>
                </patternFill>
              </fill>
              <border>
                <left/>
                <right/>
                <top style="thin">
                  <color auto="1"/>
                </top>
                <bottom style="thin">
                  <color auto="1"/>
                </bottom>
                <vertical/>
                <horizontal/>
              </border>
            </x14:dxf>
          </x14:cfRule>
          <x14:cfRule type="expression" priority="123" id="{CA4E4724-6B1F-8441-B297-5620DAA5B0C0}">
            <xm:f>AND($J11&lt;&gt;"",$J11='Drop List'!$B$138,Admin!$H$63="On")</xm:f>
            <x14:dxf>
              <font>
                <b/>
                <i val="0"/>
                <color theme="0"/>
              </font>
              <fill>
                <patternFill>
                  <bgColor rgb="FFF03A63"/>
                </patternFill>
              </fill>
              <border>
                <left/>
                <right/>
                <top style="thin">
                  <color auto="1"/>
                </top>
                <bottom style="thin">
                  <color auto="1"/>
                </bottom>
                <vertical/>
                <horizontal/>
              </border>
            </x14:dxf>
          </x14:cfRule>
          <x14:cfRule type="expression" priority="98" id="{5042FAB0-575D-E44D-ABAC-D934BBF4D242}">
            <xm:f>AND($J11&lt;&gt;"",$J11='Drop List'!$B$146,Admin!$H$63="On")</xm:f>
            <x14:dxf>
              <font>
                <b/>
                <i val="0"/>
                <color theme="0"/>
              </font>
              <fill>
                <patternFill>
                  <bgColor rgb="FF595959"/>
                </patternFill>
              </fill>
              <border>
                <left/>
                <right/>
                <top style="thin">
                  <color auto="1"/>
                </top>
                <bottom style="thin">
                  <color auto="1"/>
                </bottom>
                <vertical/>
                <horizontal/>
              </border>
            </x14:dxf>
          </x14:cfRule>
          <x14:cfRule type="expression" priority="35" id="{2F138AC4-867B-0C4E-88BD-ED3DEF34017B}">
            <xm:f>AND($J11&lt;&gt;"",$J11='Drop List'!$B$158,Admin!$H$63="On")</xm:f>
            <x14:dxf>
              <font>
                <b/>
                <i val="0"/>
                <color theme="1"/>
              </font>
              <fill>
                <patternFill>
                  <bgColor rgb="FFFC8EB5"/>
                </patternFill>
              </fill>
              <border>
                <left/>
                <right/>
                <top style="thin">
                  <color auto="1"/>
                </top>
                <bottom style="thin">
                  <color auto="1"/>
                </bottom>
                <vertical/>
                <horizontal/>
              </border>
            </x14:dxf>
          </x14:cfRule>
          <x14:cfRule type="expression" priority="29" id="{4FF0872D-81C3-0442-80F5-B028A70A3441}">
            <xm:f>AND($J11&lt;&gt;"",$J11='Drop List'!$B$159,Admin!$H$63="On")</xm:f>
            <x14:dxf>
              <font>
                <b/>
                <i val="0"/>
                <color theme="1"/>
              </font>
              <fill>
                <patternFill>
                  <bgColor rgb="FFD8B545"/>
                </patternFill>
              </fill>
              <border>
                <left/>
                <right/>
                <top style="thin">
                  <color auto="1"/>
                </top>
                <bottom style="thin">
                  <color auto="1"/>
                </bottom>
                <vertical/>
                <horizontal/>
              </border>
            </x14:dxf>
          </x14:cfRule>
          <x14:cfRule type="expression" priority="117" id="{D1077A0C-49B4-8749-A530-3C2F5BBED5B3}">
            <xm:f>AND($J11&lt;&gt;"",$J11='Drop List'!$B$140,Admin!$H$63="On")</xm:f>
            <x14:dxf>
              <font>
                <b/>
                <i val="0"/>
                <color theme="1"/>
              </font>
              <fill>
                <patternFill>
                  <bgColor rgb="FFF69871"/>
                </patternFill>
              </fill>
              <border>
                <left/>
                <right/>
                <top style="thin">
                  <color auto="1"/>
                </top>
                <bottom style="thin">
                  <color auto="1"/>
                </bottom>
                <vertical/>
                <horizontal/>
              </border>
            </x14:dxf>
          </x14:cfRule>
          <x14:cfRule type="expression" priority="104" id="{E1EE2FAE-EF61-024E-ACC5-F964E14CE436}">
            <xm:f>AND($J11&lt;&gt;"",$J11='Drop List'!$B$145,Admin!$H$63="On")</xm:f>
            <x14:dxf>
              <font>
                <b/>
                <i val="0"/>
                <color theme="1"/>
              </font>
              <fill>
                <patternFill>
                  <bgColor rgb="FF2BCFD1"/>
                </patternFill>
              </fill>
              <border>
                <left/>
                <right/>
                <top style="thin">
                  <color auto="1"/>
                </top>
                <bottom style="thin">
                  <color auto="1"/>
                </bottom>
                <vertical/>
                <horizontal/>
              </border>
            </x14:dxf>
          </x14:cfRule>
          <x14:cfRule type="expression" priority="11" id="{26CBA8B3-08E5-A24F-8112-C8E2C58C20D5}">
            <xm:f>AND($J11&lt;&gt;"",$J11='Drop List'!$B$162,Admin!$H$63="On")</xm:f>
            <x14:dxf>
              <font>
                <b/>
                <i val="0"/>
                <color theme="0"/>
              </font>
              <fill>
                <patternFill>
                  <bgColor rgb="FF009193"/>
                </patternFill>
              </fill>
              <border>
                <left/>
                <right/>
                <top style="thin">
                  <color auto="1"/>
                </top>
                <bottom style="thin">
                  <color auto="1"/>
                </bottom>
                <vertical/>
                <horizontal/>
              </border>
            </x14:dxf>
          </x14:cfRule>
          <x14:cfRule type="expression" priority="23" id="{23849050-11BA-114A-9143-A25D2CCD263B}">
            <xm:f>AND($J11&lt;&gt;"",$J11='Drop List'!$B$160,Admin!$H$63="On")</xm:f>
            <x14:dxf>
              <font>
                <b/>
                <i val="0"/>
                <color theme="1"/>
              </font>
              <fill>
                <patternFill>
                  <bgColor rgb="FFA8C46A"/>
                </patternFill>
              </fill>
              <border>
                <left/>
                <right/>
                <top style="thin">
                  <color auto="1"/>
                </top>
                <bottom style="thin">
                  <color auto="1"/>
                </bottom>
                <vertical/>
                <horizontal/>
              </border>
            </x14:dxf>
          </x14:cfRule>
          <x14:cfRule type="expression" priority="141" id="{CC92432E-ECD9-DF42-B097-0595077D9614}">
            <xm:f>AND($J11&lt;&gt;"",$J11='Drop List'!$B$141,Admin!$H$63="On")</xm:f>
            <x14:dxf>
              <font>
                <b/>
                <i val="0"/>
                <color theme="1"/>
              </font>
              <fill>
                <patternFill>
                  <bgColor rgb="FF2AA6CC"/>
                </patternFill>
              </fill>
              <border>
                <left/>
                <right/>
                <top style="thin">
                  <color auto="1"/>
                </top>
                <bottom style="thin">
                  <color auto="1"/>
                </bottom>
                <vertical/>
                <horizontal/>
              </border>
            </x14:dxf>
          </x14:cfRule>
          <xm:sqref>J11:O56</xm:sqref>
        </x14:conditionalFormatting>
        <x14:conditionalFormatting xmlns:xm="http://schemas.microsoft.com/office/excel/2006/main">
          <x14:cfRule type="expression" priority="224" id="{E21CAEA5-EBB9-5840-9AF9-4A29E86FB0DF}">
            <xm:f>AND($AN11&lt;&gt;"",NOT(ISEVEN(ROW($AA11))),Admin!$P$63="On")</xm:f>
            <x14:dxf>
              <font>
                <b/>
                <i val="0"/>
                <color theme="1"/>
              </font>
              <fill>
                <patternFill>
                  <bgColor theme="0"/>
                </patternFill>
              </fill>
              <border>
                <left style="thin">
                  <color auto="1"/>
                </left>
                <right/>
                <top style="thin">
                  <color auto="1"/>
                </top>
                <bottom/>
              </border>
            </x14:dxf>
          </x14:cfRule>
          <x14:cfRule type="expression" priority="194" id="{156C4F42-9394-A14B-B6AB-9AEEB00E04E5}">
            <xm:f>AND($AA11=VLOOKUP($AA11,InfusionsList,1,FALSE),Admin!$P$61="On")</xm:f>
            <x14:dxf>
              <font>
                <b/>
                <i val="0"/>
                <color theme="1"/>
              </font>
              <fill>
                <patternFill>
                  <bgColor rgb="FFBEBBF8"/>
                </patternFill>
              </fill>
            </x14:dxf>
          </x14:cfRule>
          <xm:sqref>AA11:AG56</xm:sqref>
        </x14:conditionalFormatting>
        <x14:conditionalFormatting xmlns:xm="http://schemas.microsoft.com/office/excel/2006/main">
          <x14:cfRule type="expression" priority="4" id="{467403B6-0110-CB47-B088-828470FC9B69}">
            <xm:f>Backend!$D$2=0</xm:f>
            <x14:dxf>
              <font>
                <color theme="0"/>
              </font>
              <fill>
                <patternFill>
                  <bgColor theme="0"/>
                </patternFill>
              </fill>
              <border>
                <left/>
                <right/>
                <top/>
                <bottom/>
                <vertical/>
                <horizontal/>
              </border>
            </x14:dxf>
          </x14:cfRule>
          <x14:cfRule type="expression" priority="6" id="{72F77558-47EF-524F-A813-2E6BF2656630}">
            <xm:f>Admin!$P$9="Off"</xm:f>
            <x14:dxf>
              <font>
                <color theme="0"/>
              </font>
              <fill>
                <patternFill>
                  <bgColor theme="0"/>
                </patternFill>
              </fill>
              <border>
                <left/>
                <right/>
                <top/>
                <bottom/>
                <vertical/>
                <horizontal/>
              </border>
            </x14:dxf>
          </x14:cfRule>
          <xm:sqref>AA3:AT56</xm:sqref>
        </x14:conditionalFormatting>
        <x14:conditionalFormatting xmlns:xm="http://schemas.microsoft.com/office/excel/2006/main">
          <x14:cfRule type="expression" priority="164" id="{053C4A97-9FD4-6240-AB53-B590CCACD718}">
            <xm:f>AND($AA10&lt;&gt;"",$AA10='Drop List'!$B$135,Admin!$H$63="On")</xm:f>
            <x14:dxf>
              <font>
                <color rgb="FF6ABC4A"/>
              </font>
              <fill>
                <patternFill>
                  <bgColor rgb="FF6ABC4A"/>
                </patternFill>
              </fill>
            </x14:dxf>
          </x14:cfRule>
          <x14:cfRule type="expression" priority="32" id="{180D9CFB-C644-CF4A-8D66-15105CC000FA}">
            <xm:f>AND($AA11&lt;&gt;"",$AA11='Drop List'!$B$159,Admin!$H$63="On")</xm:f>
            <x14:dxf>
              <font>
                <color rgb="FFD8B545"/>
              </font>
              <fill>
                <patternFill>
                  <bgColor rgb="FFD8B545"/>
                </patternFill>
              </fill>
            </x14:dxf>
          </x14:cfRule>
          <x14:cfRule type="expression" priority="97" id="{4281196E-7BEC-254F-BE3C-ED45091C9A6F}">
            <xm:f>AND($AA10&lt;&gt;"",$AA10='Drop List'!$B$147,Admin!$H$63="On")</xm:f>
            <x14:dxf>
              <font>
                <color rgb="FFF45E41"/>
              </font>
              <fill>
                <patternFill>
                  <bgColor rgb="FFF45E41"/>
                </patternFill>
              </fill>
            </x14:dxf>
          </x14:cfRule>
          <x14:cfRule type="expression" priority="109" id="{16E1C6DB-DCC4-BE42-9694-A367D8A1F3A0}">
            <xm:f>AND($AA10&lt;&gt;"",$AA10='Drop List'!$B$145,Admin!$H$63="On")</xm:f>
            <x14:dxf>
              <font>
                <color rgb="FF2BCFD1"/>
              </font>
              <fill>
                <patternFill>
                  <bgColor rgb="FF2BCFD1"/>
                </patternFill>
              </fill>
            </x14:dxf>
          </x14:cfRule>
          <x14:cfRule type="expression" priority="95" id="{57E6C989-8A06-174E-9FD9-D7E5EF8F579F}">
            <xm:f>AND($AA11&lt;&gt;"",$AA11='Drop List'!$B$147,Admin!$H$63="On")</xm:f>
            <x14:dxf>
              <font>
                <color rgb="FFF45E41"/>
              </font>
              <fill>
                <patternFill>
                  <bgColor rgb="FFF45E41"/>
                </patternFill>
              </fill>
            </x14:dxf>
          </x14:cfRule>
          <x14:cfRule type="expression" priority="126" id="{DDFC265D-0999-7E42-8DB7-B0297150ADBA}">
            <xm:f>AND($AA11&lt;&gt;"",$AA11='Drop List'!$B$138,Admin!$H$63="On")</xm:f>
            <x14:dxf>
              <font>
                <color rgb="FFF03A63"/>
              </font>
              <fill>
                <patternFill>
                  <bgColor rgb="FFF03A63"/>
                </patternFill>
              </fill>
            </x14:dxf>
          </x14:cfRule>
          <x14:cfRule type="expression" priority="107" id="{19DD437E-A85B-154A-8FE8-34C3AA4973FE}">
            <xm:f>AND($AA11&lt;&gt;"",$AA11='Drop List'!$B$145,Admin!$H$63="On")</xm:f>
            <x14:dxf>
              <font>
                <color rgb="FF2BCFD1"/>
              </font>
              <fill>
                <patternFill>
                  <bgColor rgb="FF2BCFD1"/>
                </patternFill>
              </fill>
            </x14:dxf>
          </x14:cfRule>
          <x14:cfRule type="expression" priority="128" id="{6AF8261F-F377-B24E-BE11-61732A17BCFC}">
            <xm:f>AND($AA10&lt;&gt;"",$AA10='Drop List'!$B$138,Admin!$H$63="On")</xm:f>
            <x14:dxf>
              <font>
                <color rgb="FFF03A63"/>
              </font>
              <fill>
                <patternFill>
                  <bgColor rgb="FFF03A63"/>
                </patternFill>
              </fill>
            </x14:dxf>
          </x14:cfRule>
          <x14:cfRule type="expression" priority="91" id="{AF62D2E7-8FDF-9A42-9DF4-E74609469092}">
            <xm:f>AND($AA10&lt;&gt;"",$AA10='Drop List'!$B$148,Admin!$H$63="On")</xm:f>
            <x14:dxf>
              <font>
                <color rgb="FF00FB92"/>
              </font>
              <fill>
                <patternFill>
                  <bgColor rgb="FF00FB92"/>
                </patternFill>
              </fill>
            </x14:dxf>
          </x14:cfRule>
          <x14:cfRule type="expression" priority="114" id="{B6BB93D7-3E51-0A44-ACE8-E810AF389093}">
            <xm:f>AND($AA11&lt;&gt;"",$AA11='Drop List'!$B$142,Admin!$H$63="On")</xm:f>
            <x14:dxf>
              <font>
                <color rgb="FF76D7FF"/>
              </font>
              <fill>
                <patternFill>
                  <bgColor rgb="FF76D7FF"/>
                </patternFill>
              </fill>
            </x14:dxf>
          </x14:cfRule>
          <x14:cfRule type="expression" priority="89" id="{2C88CDF4-20F9-D54D-85C8-C40BBFA034D8}">
            <xm:f>AND($AA11&lt;&gt;"",$AA11='Drop List'!$B$148,Admin!$H$63="On")</xm:f>
            <x14:dxf>
              <font>
                <color rgb="FF00FB92"/>
              </font>
              <fill>
                <patternFill>
                  <bgColor rgb="FF00FB92"/>
                </patternFill>
              </fill>
            </x14:dxf>
          </x14:cfRule>
          <x14:cfRule type="expression" priority="132" id="{1B00777E-AC92-D64F-80A0-8466EE35977F}">
            <xm:f>AND($AA11&lt;&gt;"",$AA11='Drop List'!$B$137,Admin!$H$63="On")</xm:f>
            <x14:dxf>
              <font>
                <color rgb="FFFF7CA9"/>
              </font>
              <fill>
                <patternFill>
                  <bgColor rgb="FFFF7CA9"/>
                </patternFill>
              </fill>
            </x14:dxf>
          </x14:cfRule>
          <x14:cfRule type="expression" priority="116" id="{E6B53DA0-07A3-4242-8510-1F458B834A56}">
            <xm:f>AND($AA10&lt;&gt;"",$AA10='Drop List'!$B$142,Admin!$H$63="On")</xm:f>
            <x14:dxf>
              <font>
                <color rgb="FF76D7FF"/>
              </font>
              <fill>
                <patternFill>
                  <bgColor rgb="FF76D7FF"/>
                </patternFill>
              </fill>
            </x14:dxf>
          </x14:cfRule>
          <x14:cfRule type="expression" priority="134" id="{A8AD9CA5-F8C5-2A4C-A29B-11E98C208A5B}">
            <xm:f>AND($AA10&lt;&gt;"",$AA10='Drop List'!$B$137,Admin!$H$63="On")</xm:f>
            <x14:dxf>
              <font>
                <color rgb="FFFF7CA9"/>
              </font>
              <fill>
                <patternFill>
                  <bgColor rgb="FFFF7CA9"/>
                </patternFill>
              </fill>
            </x14:dxf>
          </x14:cfRule>
          <x14:cfRule type="expression" priority="85" id="{411705C5-7422-6A47-8953-42F867F63729}">
            <xm:f>AND($AA10&lt;&gt;"",$AA10='Drop List'!$B$149,Admin!$H$63="On")</xm:f>
            <x14:dxf>
              <font>
                <color theme="1"/>
              </font>
              <fill>
                <patternFill>
                  <bgColor theme="1"/>
                </patternFill>
              </fill>
            </x14:dxf>
          </x14:cfRule>
          <x14:cfRule type="expression" priority="103" id="{8A7CC628-7A1E-8F4B-9418-6699FCED3631}">
            <xm:f>AND($AA10&lt;&gt;"",$AA10='Drop List'!$B$146,Admin!$H$63="On")</xm:f>
            <x14:dxf>
              <font>
                <color rgb="FF595959"/>
              </font>
              <fill>
                <patternFill>
                  <bgColor rgb="FF595959"/>
                </patternFill>
              </fill>
            </x14:dxf>
          </x14:cfRule>
          <x14:cfRule type="expression" priority="83" id="{5333A59C-C36C-1941-BF63-D3DAE0457729}">
            <xm:f>AND($AA11&lt;&gt;"",$AA11='Drop List'!$B$149,Admin!$H$63="On")</xm:f>
            <x14:dxf>
              <font>
                <color theme="1"/>
              </font>
              <fill>
                <patternFill>
                  <bgColor theme="1"/>
                </patternFill>
              </fill>
            </x14:dxf>
          </x14:cfRule>
          <x14:cfRule type="expression" priority="138" id="{AAF9E82E-7296-7147-9478-001A186219D1}">
            <xm:f>AND($AA11&lt;&gt;"",$AA11='Drop List'!$B$136,Admin!$H$63="On")</xm:f>
            <x14:dxf>
              <font>
                <color rgb="FFFFD966"/>
              </font>
              <fill>
                <patternFill>
                  <bgColor rgb="FFFFD966"/>
                </patternFill>
              </fill>
            </x14:dxf>
          </x14:cfRule>
          <x14:cfRule type="expression" priority="14" id="{D7AD58F3-D5BC-D34C-8E3B-30512ADC5673}">
            <xm:f>AND($AA11&lt;&gt;"",$AA11='Drop List'!$B$162,Admin!$H$63="On")</xm:f>
            <x14:dxf>
              <font>
                <color rgb="FF009193"/>
              </font>
              <fill>
                <patternFill>
                  <bgColor rgb="FF009193"/>
                </patternFill>
              </fill>
            </x14:dxf>
          </x14:cfRule>
          <x14:cfRule type="expression" priority="140" id="{BA820B35-F5D3-2B4A-8889-A8863763CB00}">
            <xm:f>AND($AA10&lt;&gt;"",$AA10='Drop List'!$B$136,Admin!$H$63="On")</xm:f>
            <x14:dxf>
              <font>
                <color rgb="FFFFD966"/>
              </font>
              <fill>
                <patternFill>
                  <bgColor rgb="FFFFD966"/>
                </patternFill>
              </fill>
            </x14:dxf>
          </x14:cfRule>
          <x14:cfRule type="expression" priority="79" id="{A26ED0E9-1AA0-D145-BF23-45C866B15A00}">
            <xm:f>AND($AA10&lt;&gt;"",$AA10='Drop List'!$B$151,Admin!$H$63="On")</xm:f>
            <x14:dxf>
              <font>
                <color rgb="FFA7499A"/>
              </font>
              <fill>
                <patternFill>
                  <bgColor rgb="FFA7499A"/>
                </patternFill>
              </fill>
            </x14:dxf>
          </x14:cfRule>
          <x14:cfRule type="expression" priority="77" id="{C4BB76EB-047D-9740-A7AB-BEB4CA8275B8}">
            <xm:f>AND($AA11&lt;&gt;"",$AA11='Drop List'!$B$151,Admin!$H$63="On")</xm:f>
            <x14:dxf>
              <font>
                <color rgb="FFA7499A"/>
              </font>
              <fill>
                <patternFill>
                  <bgColor rgb="FFA7499A"/>
                </patternFill>
              </fill>
            </x14:dxf>
          </x14:cfRule>
          <x14:cfRule type="expression" priority="144" id="{78361C1A-3FBE-EB46-BAA2-3628A7F1EDFB}">
            <xm:f>AND($AA11&lt;&gt;"",$AA11='Drop List'!$B$141,Admin!$H$63="On")</xm:f>
            <x14:dxf>
              <font>
                <color rgb="FF2AA6CC"/>
              </font>
              <fill>
                <patternFill>
                  <bgColor rgb="FF2AA6CC"/>
                </patternFill>
              </fill>
            </x14:dxf>
          </x14:cfRule>
          <x14:cfRule type="expression" priority="16" id="{4D155FEF-403E-FD4D-AB06-9DB5768B7574}">
            <xm:f>AND($AA10&lt;&gt;"",$AA10='Drop List'!$B$162,Admin!$H$63="On")</xm:f>
            <x14:dxf>
              <font>
                <color rgb="FF009193"/>
              </font>
              <fill>
                <patternFill>
                  <bgColor rgb="FF009193"/>
                </patternFill>
              </fill>
            </x14:dxf>
          </x14:cfRule>
          <x14:cfRule type="expression" priority="146" id="{E38771C0-04F9-CF4B-A2AC-185C2133C3CB}">
            <xm:f>AND($AA10&lt;&gt;"",$AA10='Drop List'!$B$141,Admin!$H$63="On")</xm:f>
            <x14:dxf>
              <font>
                <color rgb="FF2AA6CC"/>
              </font>
              <fill>
                <patternFill>
                  <bgColor rgb="FF2AA6CC"/>
                </patternFill>
              </fill>
            </x14:dxf>
          </x14:cfRule>
          <x14:cfRule type="expression" priority="73" id="{9DA0D02B-B7D0-634C-AD5A-8105F0841AA1}">
            <xm:f>AND($AA10&lt;&gt;"",$AA10='Drop List'!$B$152,Admin!$H$63="On")</xm:f>
            <x14:dxf>
              <font>
                <color rgb="FFF5B084"/>
              </font>
              <fill>
                <patternFill>
                  <bgColor rgb="FFF5B084"/>
                </patternFill>
              </fill>
            </x14:dxf>
          </x14:cfRule>
          <x14:cfRule type="expression" priority="209" id="{D44F0F0D-1FC3-4D49-80E2-6A6E4DB7B9F9}">
            <xm:f>IF(AND((MOD((ROW($AA11)-12)/4,1)=0),Admin!$H$61="On",$AN11&lt;&gt;""),TRUE,FALSE)</xm:f>
            <x14:dxf>
              <fill>
                <patternFill>
                  <bgColor theme="0" tint="-4.9989318521683403E-2"/>
                </patternFill>
              </fill>
            </x14:dxf>
          </x14:cfRule>
          <x14:cfRule type="expression" priority="71" id="{24BE7153-953E-364C-AB66-FB25F236E436}">
            <xm:f>AND($AA11&lt;&gt;"",$AA11='Drop List'!$B$152,Admin!$H$63="On")</xm:f>
            <x14:dxf>
              <font>
                <color rgb="FFF5B084"/>
              </font>
              <fill>
                <patternFill>
                  <bgColor rgb="FFF5B084"/>
                </patternFill>
              </fill>
            </x14:dxf>
          </x14:cfRule>
          <x14:cfRule type="expression" priority="150" id="{74C63F01-CDFE-314D-9E9E-BC35FD74B215}">
            <xm:f>AND($AA11&lt;&gt;"",$AA11='Drop List'!$B$153,Admin!$H$63="On")</xm:f>
            <x14:dxf>
              <font>
                <color rgb="FFF4448D"/>
              </font>
              <fill>
                <patternFill>
                  <bgColor rgb="FFF4448D"/>
                </patternFill>
              </fill>
            </x14:dxf>
          </x14:cfRule>
          <x14:cfRule type="expression" priority="208" id="{85AA09CD-5891-454F-8E92-A53BA5657D51}">
            <xm:f>IF(AND((MOD((ROW($AA11)-11)/4,1)=0),Admin!$H$61="On",$AN11&lt;&gt;""),TRUE,FALSE)</xm:f>
            <x14:dxf>
              <fill>
                <patternFill>
                  <bgColor theme="0" tint="-4.9989318521683403E-2"/>
                </patternFill>
              </fill>
            </x14:dxf>
          </x14:cfRule>
          <x14:cfRule type="expression" priority="152" id="{295D166E-A6DC-C740-B298-CC94563D1550}">
            <xm:f>AND($AA10&lt;&gt;"",$AA10='Drop List'!$B$153,Admin!$H$63="On")</xm:f>
            <x14:dxf>
              <font>
                <color rgb="FFF4448D"/>
              </font>
              <fill>
                <patternFill>
                  <bgColor rgb="FFF4448D"/>
                </patternFill>
              </fill>
            </x14:dxf>
          </x14:cfRule>
          <x14:cfRule type="expression" priority="67" id="{1AC3D576-BDB3-4943-95DF-D84B7046EBBC}">
            <xm:f>AND($AA10&lt;&gt;"",$AA10='Drop List'!$B$154,Admin!$H$63="On")</xm:f>
            <x14:dxf>
              <font>
                <color rgb="FFFFFF99"/>
              </font>
              <fill>
                <patternFill>
                  <bgColor rgb="FFFFFF99"/>
                </patternFill>
              </fill>
            </x14:dxf>
          </x14:cfRule>
          <x14:cfRule type="expression" priority="20" id="{F7D92F09-9925-8A42-ABFE-3B8A94568A0A}">
            <xm:f>AND($AA11&lt;&gt;"",$AA11='Drop List'!$B$161,Admin!$H$63="On")</xm:f>
            <x14:dxf>
              <font>
                <color rgb="FF005493"/>
              </font>
              <fill>
                <patternFill>
                  <bgColor rgb="FF005493"/>
                </patternFill>
              </fill>
            </x14:dxf>
          </x14:cfRule>
          <x14:cfRule type="expression" priority="65" id="{AAF13322-D925-D546-A183-709FB8023F2C}">
            <xm:f>AND($AA11&lt;&gt;"",$AA11='Drop List'!$B$154,Admin!$H$63="On")</xm:f>
            <x14:dxf>
              <font>
                <color rgb="FFFFFF99"/>
              </font>
              <fill>
                <patternFill>
                  <bgColor rgb="FFFFFF99"/>
                </patternFill>
              </fill>
            </x14:dxf>
          </x14:cfRule>
          <x14:cfRule type="expression" priority="156" id="{7D86B84B-6681-5E4D-91B0-5A5A9A853857}">
            <xm:f>AND($AA11&lt;&gt;"",$AA11='Drop List'!$B$144,Admin!$H$63="On")</xm:f>
            <x14:dxf>
              <font>
                <color rgb="FF5862B8"/>
              </font>
              <fill>
                <patternFill>
                  <bgColor rgb="FF5862B8"/>
                </patternFill>
              </fill>
            </x14:dxf>
          </x14:cfRule>
          <x14:cfRule type="expression" priority="205" id="{126C9711-F86D-364F-B289-831D4442ADD2}">
            <xm:f>IF(AND((MOD((ROW($AA11)-12)/4,1)=0),Admin!$P$61="On",Admin!$H$61="On",($AA10=VLOOKUP($AA10,InfusionsList,1,FALSE))),TRUE,FALSE)</xm:f>
            <x14:dxf>
              <fill>
                <patternFill>
                  <bgColor rgb="FFF2F2FF"/>
                </patternFill>
              </fill>
            </x14:dxf>
          </x14:cfRule>
          <x14:cfRule type="expression" priority="158" id="{D1361DC4-0DFE-9940-81BA-A73A937A078D}">
            <xm:f>AND($AA10&lt;&gt;"",$AA10='Drop List'!$B$144,Admin!$H$63="On")</xm:f>
            <x14:dxf>
              <font>
                <color rgb="FF5862B8"/>
              </font>
              <fill>
                <patternFill>
                  <bgColor rgb="FF5862B8"/>
                </patternFill>
              </fill>
            </x14:dxf>
          </x14:cfRule>
          <x14:cfRule type="expression" priority="60" id="{16D7B039-5AB5-9541-A026-8CD8C17F04C1}">
            <xm:f>AND($AA10&lt;&gt;"",$AA10='Drop List'!$B$155,Admin!$H$63="On")</xm:f>
            <x14:dxf>
              <font>
                <color rgb="FF9877C2"/>
              </font>
              <fill>
                <patternFill>
                  <bgColor rgb="FF9877C2"/>
                </patternFill>
              </fill>
            </x14:dxf>
          </x14:cfRule>
          <x14:cfRule type="expression" priority="204" id="{7E947BA5-3A98-BA4C-8FA4-C39A10C055F8}">
            <xm:f>IF(AND((MOD((ROW($AA11)-11)/4,1)=0),Admin!$P$61="On",Admin!$H$61="On",($AA11=VLOOKUP($AA11,InfusionsList,1,FALSE))),TRUE,FALSE)</xm:f>
            <x14:dxf>
              <fill>
                <patternFill>
                  <bgColor rgb="FFF2F2FF"/>
                </patternFill>
              </fill>
            </x14:dxf>
          </x14:cfRule>
          <x14:cfRule type="expression" priority="58" id="{7E75DFE5-9B21-E841-B514-93313A2EE95C}">
            <xm:f>AND($AA11&lt;&gt;"",$AA11='Drop List'!$B$155,Admin!$H$63="On")</xm:f>
            <x14:dxf>
              <font>
                <color rgb="FF9877C2"/>
              </font>
              <fill>
                <patternFill>
                  <bgColor rgb="FF9877C2"/>
                </patternFill>
              </fill>
            </x14:dxf>
          </x14:cfRule>
          <x14:cfRule type="expression" priority="162" id="{D688C81E-4736-B84F-9B60-F866F3423AD4}">
            <xm:f>AND($AA11&lt;&gt;"",$AA11='Drop List'!$B$135,Admin!$H$63="On")</xm:f>
            <x14:dxf>
              <font>
                <color rgb="FF6ABC4A"/>
              </font>
              <fill>
                <patternFill>
                  <bgColor rgb="FF6ABC4A"/>
                </patternFill>
              </fill>
            </x14:dxf>
          </x14:cfRule>
          <x14:cfRule type="expression" priority="22" id="{51DC2088-A100-3346-A398-741D82E7BD6B}">
            <xm:f>AND($AA10&lt;&gt;"",$AA10='Drop List'!$B$161,Admin!$H$63="On")</xm:f>
            <x14:dxf>
              <font>
                <color rgb="FF005493"/>
              </font>
              <fill>
                <patternFill>
                  <bgColor rgb="FF005493"/>
                </patternFill>
              </fill>
            </x14:dxf>
          </x14:cfRule>
          <x14:cfRule type="expression" priority="101" id="{7FE527C1-1413-D64D-AFC9-A095C021875F}">
            <xm:f>AND($AA11&lt;&gt;"",$AA11='Drop List'!$B$146,Admin!$H$63="On")</xm:f>
            <x14:dxf>
              <font>
                <color rgb="FF595959"/>
              </font>
              <fill>
                <patternFill>
                  <bgColor rgb="FF595959"/>
                </patternFill>
              </fill>
            </x14:dxf>
          </x14:cfRule>
          <x14:cfRule type="expression" priority="54" id="{5626A9DC-B822-F84C-8402-EA5EBC3224E6}">
            <xm:f>AND($AA10&lt;&gt;"",$AA10='Drop List'!$B$156,Admin!$H$63="On")</xm:f>
            <x14:dxf>
              <font>
                <color rgb="FFCBA1DA"/>
              </font>
              <fill>
                <patternFill>
                  <bgColor rgb="FFCBA1DA"/>
                </patternFill>
              </fill>
            </x14:dxf>
          </x14:cfRule>
          <x14:cfRule type="expression" priority="26" id="{5F568B5C-E9CB-1948-AE51-04E190A93AC9}">
            <xm:f>AND($AA11&lt;&gt;"",$AA11='Drop List'!$B$160,Admin!$H$63="On")</xm:f>
            <x14:dxf>
              <font>
                <color rgb="FFA8C46A"/>
              </font>
              <fill>
                <patternFill>
                  <bgColor rgb="FFA8C46A"/>
                </patternFill>
              </fill>
            </x14:dxf>
          </x14:cfRule>
          <x14:cfRule type="expression" priority="52" id="{E5054203-980B-F64D-A1FD-001549CD6E85}">
            <xm:f>AND($AA11&lt;&gt;"",$AA11='Drop List'!$B$156,Admin!$H$63="On")</xm:f>
            <x14:dxf>
              <font>
                <color rgb="FFCBA1DA"/>
              </font>
              <fill>
                <patternFill>
                  <bgColor rgb="FFCBA1DA"/>
                </patternFill>
              </fill>
            </x14:dxf>
          </x14:cfRule>
          <x14:cfRule type="expression" priority="168" id="{BC67B698-CCFD-8940-A329-190333114E6A}">
            <xm:f>AND($AA11&lt;&gt;"",$AA11='Drop List'!$B$143,Admin!$H$63="On")</xm:f>
            <x14:dxf>
              <font>
                <color rgb="FFFCBC18"/>
              </font>
              <fill>
                <patternFill>
                  <bgColor rgb="FFFCBC18"/>
                </patternFill>
              </fill>
            </x14:dxf>
          </x14:cfRule>
          <x14:cfRule type="expression" priority="122" id="{033D20E9-E426-194C-9039-8A061FECBFA3}">
            <xm:f>AND($AA10&lt;&gt;"",$AA10='Drop List'!$B$140,Admin!$H$63="On")</xm:f>
            <x14:dxf>
              <font>
                <color rgb="FFF69871"/>
              </font>
              <fill>
                <patternFill>
                  <bgColor rgb="FFF69871"/>
                </patternFill>
              </fill>
            </x14:dxf>
          </x14:cfRule>
          <x14:cfRule type="expression" priority="170" id="{F759897B-9C32-5042-83E0-3FB2CF8310E3}">
            <xm:f>AND($AA10&lt;&gt;"",$AA10='Drop List'!$B$143,Admin!$H$63="On")</xm:f>
            <x14:dxf>
              <font>
                <color rgb="FFFCBC18"/>
              </font>
              <fill>
                <patternFill>
                  <bgColor rgb="FFFCBC18"/>
                </patternFill>
              </fill>
            </x14:dxf>
          </x14:cfRule>
          <x14:cfRule type="expression" priority="48" id="{B603BF7D-05D6-7645-8D91-EE6842A7098A}">
            <xm:f>AND($AA10&lt;&gt;"",$AA10='Drop List'!$B$157,Admin!$H$63="On")</xm:f>
            <x14:dxf>
              <font>
                <color rgb="FFE794C8"/>
              </font>
              <fill>
                <patternFill>
                  <bgColor rgb="FFE794C8"/>
                </patternFill>
              </fill>
            </x14:dxf>
          </x14:cfRule>
          <x14:cfRule type="expression" priority="120" id="{649EFE2D-6A33-AE40-8987-2A45AECA3FF0}">
            <xm:f>AND($AA11&lt;&gt;"",$AA11='Drop List'!$B$140,Admin!$H$63="On")</xm:f>
            <x14:dxf>
              <font>
                <color rgb="FFF69871"/>
              </font>
              <fill>
                <patternFill>
                  <bgColor rgb="FFF69871"/>
                </patternFill>
              </fill>
            </x14:dxf>
          </x14:cfRule>
          <x14:cfRule type="expression" priority="46" id="{EEA4DA55-7E27-7949-9555-E000E69F5833}">
            <xm:f>AND($AA11&lt;&gt;"",$AA11='Drop List'!$B$157,Admin!$H$63="On")</xm:f>
            <x14:dxf>
              <font>
                <color rgb="FFE794C8"/>
              </font>
              <fill>
                <patternFill>
                  <bgColor rgb="FFE794C8"/>
                </patternFill>
              </fill>
            </x14:dxf>
          </x14:cfRule>
          <x14:cfRule type="expression" priority="174" id="{8346A83E-D5FA-CB4F-ADF2-42356B986FDA}">
            <xm:f>AND($AA11&lt;&gt;"",$AA11='Drop List'!$B$150,Admin!$H$63="On")</xm:f>
            <x14:dxf>
              <font>
                <color rgb="FF3981C7"/>
              </font>
              <fill>
                <patternFill>
                  <bgColor rgb="FF3981C7"/>
                </patternFill>
              </fill>
            </x14:dxf>
          </x14:cfRule>
          <x14:cfRule type="expression" priority="28" id="{CD319F61-AB14-CB4E-97E8-57FC29B4AD43}">
            <xm:f>AND($AA10&lt;&gt;"",$AA10='Drop List'!$B$160,Admin!$H$63="On")</xm:f>
            <x14:dxf>
              <font>
                <color rgb="FFA8C46A"/>
              </font>
              <fill>
                <patternFill>
                  <bgColor rgb="FFA8C46A"/>
                </patternFill>
              </fill>
            </x14:dxf>
          </x14:cfRule>
          <x14:cfRule type="expression" priority="176" id="{622A987B-59AF-5B41-BD0B-BB3ACD9A088F}">
            <xm:f>AND($AA10&lt;&gt;"",$AA10='Drop List'!$B$150,Admin!$H$63="On")</xm:f>
            <x14:dxf>
              <font>
                <color rgb="FF3981C7"/>
              </font>
              <fill>
                <patternFill>
                  <bgColor rgb="FF3981C7"/>
                </patternFill>
              </fill>
            </x14:dxf>
          </x14:cfRule>
          <x14:cfRule type="expression" priority="40" id="{C3E9A7D5-1CBD-2541-92C2-552830AC157D}">
            <xm:f>AND($AA10&lt;&gt;"",$AA10='Drop List'!$B$158,Admin!$H$63="On")</xm:f>
            <x14:dxf>
              <font>
                <color rgb="FFFC8EB5"/>
              </font>
              <fill>
                <patternFill>
                  <bgColor rgb="FFFC8EB5"/>
                </patternFill>
              </fill>
            </x14:dxf>
          </x14:cfRule>
          <x14:cfRule type="expression" priority="38" id="{FA598187-1B6E-3246-9648-32908893BC37}">
            <xm:f>AND($AA11&lt;&gt;"",$AA11='Drop List'!$B$158,Admin!$H$63="On")</xm:f>
            <x14:dxf>
              <font>
                <color rgb="FFFC8EB5"/>
              </font>
              <fill>
                <patternFill>
                  <bgColor rgb="FFFC8EB5"/>
                </patternFill>
              </fill>
            </x14:dxf>
          </x14:cfRule>
          <x14:cfRule type="expression" priority="180" id="{B7D15A05-FF02-5B40-ACE0-F5A2651FCC70}">
            <xm:f>AND($AA11&lt;&gt;"",$AA11='Drop List'!$B$139,Admin!$H$63="On")</xm:f>
            <x14:dxf>
              <font>
                <color rgb="FFEC3650"/>
              </font>
              <fill>
                <patternFill>
                  <bgColor rgb="FFEC3650"/>
                </patternFill>
              </fill>
            </x14:dxf>
          </x14:cfRule>
          <x14:cfRule type="expression" priority="182" id="{C11B0293-9DBA-724A-948E-05018FC2C4EA}">
            <xm:f>AND($AA10&lt;&gt;"",$AA10='Drop List'!$B$139,Admin!$H$63="On")</xm:f>
            <x14:dxf>
              <font>
                <color rgb="FFEC3650"/>
              </font>
              <fill>
                <patternFill>
                  <bgColor rgb="FFEC3650"/>
                </patternFill>
              </fill>
            </x14:dxf>
          </x14:cfRule>
          <x14:cfRule type="expression" priority="34" id="{E801E0A7-7B0E-2D49-8626-8342451EF329}">
            <xm:f>AND($AA10&lt;&gt;"",$AA10='Drop List'!$B$159,Admin!$H$63="On")</xm:f>
            <x14:dxf>
              <font>
                <color rgb="FFD8B545"/>
              </font>
              <fill>
                <patternFill>
                  <bgColor rgb="FFD8B545"/>
                </patternFill>
              </fill>
            </x14:dxf>
          </x14:cfRule>
          <xm:sqref>AA11:AT56</xm:sqref>
        </x14:conditionalFormatting>
        <x14:conditionalFormatting xmlns:xm="http://schemas.microsoft.com/office/excel/2006/main">
          <x14:cfRule type="expression" priority="50" id="{70F4E085-36EC-CB41-91E0-F2E6445CC7E9}">
            <xm:f>AND($AH11&lt;&gt;"",$AH11='Drop List'!$B$156,Admin!$H$63="On")</xm:f>
            <x14:dxf>
              <font>
                <b/>
                <i val="0"/>
                <color theme="1"/>
              </font>
              <fill>
                <patternFill>
                  <bgColor rgb="FFCBA1DA"/>
                </patternFill>
              </fill>
              <border>
                <left/>
                <right/>
                <top style="thin">
                  <color auto="1"/>
                </top>
                <bottom style="thin">
                  <color auto="1"/>
                </bottom>
                <vertical/>
                <horizontal/>
              </border>
            </x14:dxf>
          </x14:cfRule>
          <x14:cfRule type="expression" priority="30" id="{DDA2B4A2-DA79-E94B-B9F5-C84CC6C7CCAF}">
            <xm:f>AND($AH11&lt;&gt;"",$AH11='Drop List'!$B$159,Admin!$H$63="On")</xm:f>
            <x14:dxf>
              <font>
                <b/>
                <i val="0"/>
                <color theme="1"/>
              </font>
              <fill>
                <patternFill>
                  <bgColor rgb="FFD8B545"/>
                </patternFill>
              </fill>
              <border>
                <left/>
                <right/>
                <top style="thin">
                  <color auto="1"/>
                </top>
                <bottom style="thin">
                  <color auto="1"/>
                </bottom>
                <vertical/>
                <horizontal/>
              </border>
            </x14:dxf>
          </x14:cfRule>
          <x14:cfRule type="expression" priority="178" id="{80208BD6-2B30-5548-8A3A-4F6BB4574C71}">
            <xm:f>AND($AH11&lt;&gt;"",$AH11='Drop List'!$B$139,Admin!$H$63="On")</xm:f>
            <x14:dxf>
              <font>
                <b/>
                <i val="0"/>
                <color theme="0"/>
              </font>
              <fill>
                <patternFill>
                  <bgColor rgb="FFEC3650"/>
                </patternFill>
              </fill>
              <border>
                <left/>
                <right/>
                <top style="thin">
                  <color auto="1"/>
                </top>
                <bottom style="thin">
                  <color auto="1"/>
                </bottom>
                <vertical/>
                <horizontal/>
              </border>
            </x14:dxf>
          </x14:cfRule>
          <x14:cfRule type="expression" priority="43" id="{ED8406F0-F52C-EE4C-963E-5A5ED9567C9D}">
            <xm:f>AND($AH11&lt;&gt;"",$AH11='Drop List'!$B$157,Admin!$H$63="On")</xm:f>
            <x14:dxf>
              <font>
                <b/>
                <i val="0"/>
                <color theme="1"/>
              </font>
              <fill>
                <patternFill>
                  <bgColor rgb="FFE794C8"/>
                </patternFill>
              </fill>
              <border>
                <left/>
                <right/>
                <top style="thin">
                  <color auto="1"/>
                </top>
                <bottom style="thin">
                  <color auto="1"/>
                </bottom>
                <vertical/>
                <horizontal/>
              </border>
            </x14:dxf>
          </x14:cfRule>
          <x14:cfRule type="expression" priority="172" id="{48878D4F-DFD7-E34B-9A99-046AD1542BFB}">
            <xm:f>AND($AH11&lt;&gt;"",$AH11='Drop List'!$B$150,Admin!$H$63="On")</xm:f>
            <x14:dxf>
              <font>
                <b/>
                <i val="0"/>
                <color theme="0"/>
              </font>
              <fill>
                <patternFill>
                  <bgColor rgb="FF3981C7"/>
                </patternFill>
              </fill>
              <border>
                <left/>
                <right/>
                <top style="thin">
                  <color auto="1"/>
                </top>
                <bottom style="thin">
                  <color auto="1"/>
                </bottom>
                <vertical/>
                <horizontal/>
              </border>
            </x14:dxf>
          </x14:cfRule>
          <x14:cfRule type="expression" priority="166" id="{9232ABDE-B441-C349-9F1D-73FCBE5B7EF2}">
            <xm:f>AND($AH11&lt;&gt;"",$AH11='Drop List'!$B$143,Admin!$H$63="On")</xm:f>
            <x14:dxf>
              <font>
                <b/>
                <i val="0"/>
                <color theme="1"/>
              </font>
              <fill>
                <patternFill>
                  <bgColor rgb="FFFCBC18"/>
                </patternFill>
              </fill>
              <border>
                <left/>
                <right/>
                <top style="thin">
                  <color auto="1"/>
                </top>
                <bottom style="thin">
                  <color auto="1"/>
                </bottom>
                <vertical/>
                <horizontal/>
              </border>
            </x14:dxf>
          </x14:cfRule>
          <x14:cfRule type="expression" priority="99" id="{919320CF-6BA2-F343-BFCC-52A64555DB33}">
            <xm:f>AND($AH11&lt;&gt;"",$AH11='Drop List'!$B$146,Admin!$H$63="On")</xm:f>
            <x14:dxf>
              <font>
                <b/>
                <i val="0"/>
                <color theme="0"/>
              </font>
              <fill>
                <patternFill>
                  <bgColor rgb="FF595959"/>
                </patternFill>
              </fill>
              <border>
                <left/>
                <right/>
                <top style="thin">
                  <color auto="1"/>
                </top>
                <bottom style="thin">
                  <color auto="1"/>
                </bottom>
                <vertical/>
                <horizontal/>
              </border>
            </x14:dxf>
          </x14:cfRule>
          <x14:cfRule type="expression" priority="24" id="{61BEA807-5C46-204E-A460-B4418E811A41}">
            <xm:f>AND($AH11&lt;&gt;"",$AH11='Drop List'!$B$160,Admin!$H$63="On")</xm:f>
            <x14:dxf>
              <font>
                <b/>
                <i val="0"/>
                <color theme="1"/>
              </font>
              <fill>
                <patternFill>
                  <bgColor rgb="FFA8C46A"/>
                </patternFill>
              </fill>
              <border>
                <left/>
                <right/>
                <top style="thin">
                  <color auto="1"/>
                </top>
                <bottom style="thin">
                  <color auto="1"/>
                </bottom>
                <vertical/>
                <horizontal/>
              </border>
            </x14:dxf>
          </x14:cfRule>
          <x14:cfRule type="expression" priority="56" id="{433EED80-B291-A044-A882-2A3B03E2CF0C}">
            <xm:f>AND($AH11&lt;&gt;"",$AH11='Drop List'!$B$155,Admin!$H$63="On")</xm:f>
            <x14:dxf>
              <font>
                <b/>
                <i val="0"/>
                <color theme="1"/>
              </font>
              <fill>
                <patternFill>
                  <bgColor rgb="FF9877C2"/>
                </patternFill>
              </fill>
              <border>
                <left/>
                <right/>
                <top style="thin">
                  <color auto="1"/>
                </top>
                <bottom style="thin">
                  <color auto="1"/>
                </bottom>
                <vertical/>
                <horizontal/>
              </border>
            </x14:dxf>
          </x14:cfRule>
          <x14:cfRule type="expression" priority="160" id="{2428339C-562C-6F44-B125-9BB009195B6B}">
            <xm:f>AND($AH11&lt;&gt;"",$AH11='Drop List'!$B$135,Admin!$H$63="On")</xm:f>
            <x14:dxf>
              <font>
                <b/>
                <i val="0"/>
                <color theme="1"/>
              </font>
              <fill>
                <patternFill>
                  <bgColor rgb="FF6ABC4A"/>
                </patternFill>
              </fill>
              <border>
                <left/>
                <right/>
                <top style="thin">
                  <color auto="1"/>
                </top>
                <bottom style="thin">
                  <color auto="1"/>
                </bottom>
                <vertical/>
                <horizontal/>
              </border>
            </x14:dxf>
          </x14:cfRule>
          <x14:cfRule type="expression" priority="63" id="{856D6E97-9C95-754A-8CB4-402EDCB63184}">
            <xm:f>AND($AH11&lt;&gt;"",$AH11='Drop List'!$B$154,Admin!$H$63="On")</xm:f>
            <x14:dxf>
              <font>
                <b/>
                <i val="0"/>
                <color theme="1"/>
              </font>
              <fill>
                <patternFill>
                  <bgColor rgb="FFFFFF99"/>
                </patternFill>
              </fill>
              <border>
                <left/>
                <right/>
                <top style="thin">
                  <color auto="1"/>
                </top>
                <bottom style="thin">
                  <color auto="1"/>
                </bottom>
                <vertical/>
                <horizontal/>
              </border>
            </x14:dxf>
          </x14:cfRule>
          <x14:cfRule type="expression" priority="154" id="{20F81836-8900-3844-A4E1-AC730743EBF6}">
            <xm:f>AND($AH11&lt;&gt;"",$AH11='Drop List'!$B$144,Admin!$H$63="On")</xm:f>
            <x14:dxf>
              <font>
                <b/>
                <i val="0"/>
                <color theme="0"/>
              </font>
              <fill>
                <patternFill>
                  <bgColor rgb="FF5862B8"/>
                </patternFill>
              </fill>
              <border>
                <left/>
                <right/>
                <top style="thin">
                  <color auto="1"/>
                </top>
                <bottom style="thin">
                  <color auto="1"/>
                </bottom>
                <vertical/>
                <horizontal/>
              </border>
            </x14:dxf>
          </x14:cfRule>
          <x14:cfRule type="expression" priority="18" id="{1181CB97-0F61-534A-A016-770B35849B2D}">
            <xm:f>AND($AH11&lt;&gt;"",$AH11='Drop List'!$B$161,Admin!$H$63="On")</xm:f>
            <x14:dxf>
              <font>
                <b/>
                <i val="0"/>
                <color theme="0"/>
              </font>
              <fill>
                <patternFill>
                  <bgColor rgb="FF005493"/>
                </patternFill>
              </fill>
              <border>
                <left/>
                <right/>
                <top style="thin">
                  <color auto="1"/>
                </top>
                <bottom style="thin">
                  <color auto="1"/>
                </bottom>
                <vertical/>
                <horizontal/>
              </border>
            </x14:dxf>
          </x14:cfRule>
          <x14:cfRule type="expression" priority="69" id="{54CA35E0-1A37-444D-841A-FB52D8F50292}">
            <xm:f>AND($AH11&lt;&gt;"",$AH11='Drop List'!$B$152,Admin!$H$63="On")</xm:f>
            <x14:dxf>
              <font>
                <b/>
                <i val="0"/>
                <color theme="1"/>
              </font>
              <fill>
                <patternFill>
                  <bgColor rgb="FFF5B084"/>
                </patternFill>
              </fill>
              <border>
                <left/>
                <right/>
                <top style="thin">
                  <color auto="1"/>
                </top>
                <bottom style="thin">
                  <color auto="1"/>
                </bottom>
                <vertical/>
                <horizontal/>
              </border>
            </x14:dxf>
          </x14:cfRule>
          <x14:cfRule type="expression" priority="148" id="{AA6316EB-BEC8-3246-B88B-C0010D9F637F}">
            <xm:f>AND($AH11&lt;&gt;"",$AH11='Drop List'!$B$153,Admin!$H$63="On")</xm:f>
            <x14:dxf>
              <font>
                <b/>
                <i val="0"/>
                <color theme="1"/>
              </font>
              <fill>
                <patternFill>
                  <bgColor rgb="FFF4448D"/>
                </patternFill>
              </fill>
              <border>
                <left/>
                <right/>
                <top style="thin">
                  <color auto="1"/>
                </top>
                <bottom style="thin">
                  <color auto="1"/>
                </bottom>
                <vertical/>
                <horizontal/>
              </border>
            </x14:dxf>
          </x14:cfRule>
          <x14:cfRule type="expression" priority="75" id="{188E4385-188E-4642-87FA-CA7E1DDBAE68}">
            <xm:f>AND($AH11&lt;&gt;"",$AH11='Drop List'!$B$151,Admin!$H$63="On")</xm:f>
            <x14:dxf>
              <font>
                <b/>
                <i val="0"/>
                <color theme="0"/>
              </font>
              <fill>
                <patternFill>
                  <bgColor rgb="FFA7499A"/>
                </patternFill>
              </fill>
              <border>
                <left/>
                <right/>
                <top style="thin">
                  <color auto="1"/>
                </top>
                <bottom style="thin">
                  <color auto="1"/>
                </bottom>
                <vertical/>
                <horizontal/>
              </border>
            </x14:dxf>
          </x14:cfRule>
          <x14:cfRule type="expression" priority="142" id="{C03F09AE-4680-DD4C-BBBB-FF6E0C874EAB}">
            <xm:f>AND($AH11&lt;&gt;"",$AH11='Drop List'!$B$141,Admin!$H$63="On")</xm:f>
            <x14:dxf>
              <font>
                <b/>
                <i val="0"/>
                <color theme="1"/>
              </font>
              <fill>
                <patternFill>
                  <bgColor rgb="FF2AA6CC"/>
                </patternFill>
              </fill>
              <border>
                <left/>
                <right/>
                <top style="thin">
                  <color auto="1"/>
                </top>
                <bottom style="thin">
                  <color auto="1"/>
                </bottom>
                <vertical/>
                <horizontal/>
              </border>
            </x14:dxf>
          </x14:cfRule>
          <x14:cfRule type="expression" priority="81" id="{8AE93A51-B5D4-954C-B87E-506D123B8C9A}">
            <xm:f>AND($AH11&lt;&gt;"",$AH11='Drop List'!$B$149,Admin!$H$63="On")</xm:f>
            <x14:dxf>
              <font>
                <b/>
                <i val="0"/>
                <color theme="0"/>
              </font>
              <fill>
                <patternFill>
                  <bgColor theme="1"/>
                </patternFill>
              </fill>
              <border>
                <left/>
                <right/>
                <top style="thin">
                  <color auto="1"/>
                </top>
                <bottom style="thin">
                  <color auto="1"/>
                </bottom>
                <vertical/>
                <horizontal/>
              </border>
            </x14:dxf>
          </x14:cfRule>
          <x14:cfRule type="expression" priority="12" id="{7EBB41F9-EA6E-E14C-8F95-E8DE5A5D9DB9}">
            <xm:f>AND($AH11&lt;&gt;"",$AH11='Drop List'!$B$162,Admin!$H$63="On")</xm:f>
            <x14:dxf>
              <font>
                <b/>
                <i val="0"/>
                <color theme="0"/>
              </font>
              <fill>
                <patternFill>
                  <bgColor rgb="FF009193"/>
                </patternFill>
              </fill>
              <border>
                <left/>
                <right/>
                <top style="thin">
                  <color auto="1"/>
                </top>
                <bottom style="thin">
                  <color auto="1"/>
                </bottom>
                <vertical/>
                <horizontal/>
              </border>
            </x14:dxf>
          </x14:cfRule>
          <x14:cfRule type="expression" priority="118" id="{4EE9DF74-D1E8-4045-990F-F511C6061F41}">
            <xm:f>AND($AH11&lt;&gt;"",$AH11='Drop List'!$B$140,Admin!$H$63="On")</xm:f>
            <x14:dxf>
              <font>
                <b/>
                <i val="0"/>
                <color theme="1"/>
              </font>
              <fill>
                <patternFill>
                  <bgColor rgb="FFF69871"/>
                </patternFill>
              </fill>
              <border>
                <left/>
                <right/>
                <top style="thin">
                  <color auto="1"/>
                </top>
                <bottom style="thin">
                  <color auto="1"/>
                </bottom>
                <vertical/>
                <horizontal/>
              </border>
            </x14:dxf>
          </x14:cfRule>
          <x14:cfRule type="expression" priority="136" id="{2D67A13E-BA67-934E-983C-DC56903584F4}">
            <xm:f>AND($AH11&lt;&gt;"",$AH11='Drop List'!$B$136,Admin!$H$63="On")</xm:f>
            <x14:dxf>
              <font>
                <b/>
                <i val="0"/>
                <color theme="1"/>
              </font>
              <fill>
                <patternFill>
                  <bgColor rgb="FFFFD966"/>
                </patternFill>
              </fill>
              <border>
                <left/>
                <right/>
                <top style="thin">
                  <color auto="1"/>
                </top>
                <bottom style="thin">
                  <color auto="1"/>
                </bottom>
                <vertical/>
                <horizontal/>
              </border>
            </x14:dxf>
          </x14:cfRule>
          <x14:cfRule type="expression" priority="87" id="{4A68444E-D269-8540-ACD9-4A6EDDC61858}">
            <xm:f>AND($AH11&lt;&gt;"",$AH11='Drop List'!$B$148,Admin!$H$63="On")</xm:f>
            <x14:dxf>
              <font>
                <b/>
                <i val="0"/>
                <color theme="1"/>
              </font>
              <fill>
                <patternFill>
                  <bgColor rgb="FF00FB92"/>
                </patternFill>
              </fill>
              <border>
                <left/>
                <right/>
                <top style="thin">
                  <color auto="1"/>
                </top>
                <bottom style="thin">
                  <color auto="1"/>
                </bottom>
                <vertical/>
                <horizontal/>
              </border>
            </x14:dxf>
          </x14:cfRule>
          <x14:cfRule type="expression" priority="105" id="{D4DF18F9-820D-E34A-B595-29C3834BFB85}">
            <xm:f>AND($AH11&lt;&gt;"",$AH11='Drop List'!$B$145,Admin!$H$63="On")</xm:f>
            <x14:dxf>
              <font>
                <b/>
                <i val="0"/>
                <color theme="1"/>
              </font>
              <fill>
                <patternFill>
                  <bgColor rgb="FF2BCFD1"/>
                </patternFill>
              </fill>
              <border>
                <left/>
                <right/>
                <top style="thin">
                  <color auto="1"/>
                </top>
                <bottom style="thin">
                  <color auto="1"/>
                </bottom>
                <vertical/>
                <horizontal/>
              </border>
            </x14:dxf>
          </x14:cfRule>
          <x14:cfRule type="expression" priority="130" id="{9A7A21EE-2727-B941-9612-A0EF1BDFD667}">
            <xm:f>AND($AH11&lt;&gt;"",$AH11='Drop List'!$B$137,Admin!$H$63="On")</xm:f>
            <x14:dxf>
              <font>
                <b/>
                <i val="0"/>
                <color theme="1"/>
              </font>
              <fill>
                <patternFill>
                  <bgColor rgb="FFFF7CA9"/>
                </patternFill>
              </fill>
              <border>
                <left/>
                <right/>
                <top style="thin">
                  <color auto="1"/>
                </top>
                <bottom style="thin">
                  <color auto="1"/>
                </bottom>
                <vertical/>
                <horizontal/>
              </border>
            </x14:dxf>
          </x14:cfRule>
          <x14:cfRule type="expression" priority="93" id="{395235A0-8735-4B4A-9EA8-314CE419B7A0}">
            <xm:f>AND($AH11&lt;&gt;"",$AH11='Drop List'!$B$147,Admin!$H$63="On")</xm:f>
            <x14:dxf>
              <font>
                <b/>
                <i val="0"/>
                <color theme="1"/>
              </font>
              <fill>
                <patternFill>
                  <bgColor rgb="FFF45E41"/>
                </patternFill>
              </fill>
              <border>
                <left/>
                <right/>
                <top style="thin">
                  <color auto="1"/>
                </top>
                <bottom style="thin">
                  <color auto="1"/>
                </bottom>
                <vertical/>
                <horizontal/>
              </border>
            </x14:dxf>
          </x14:cfRule>
          <x14:cfRule type="expression" priority="111" id="{92411264-B2C5-4346-98AB-4FFEE218AD85}">
            <xm:f>AND($AH11&lt;&gt;"",$AH11='Drop List'!$B$142,Admin!$H$63="On")</xm:f>
            <x14:dxf>
              <font>
                <b/>
                <i val="0"/>
                <color theme="1"/>
              </font>
              <fill>
                <patternFill>
                  <bgColor rgb="FF76D7FF"/>
                </patternFill>
              </fill>
              <border>
                <left/>
                <right/>
                <top style="thin">
                  <color auto="1"/>
                </top>
                <bottom style="thin">
                  <color auto="1"/>
                </bottom>
                <vertical/>
                <horizontal/>
              </border>
            </x14:dxf>
          </x14:cfRule>
          <x14:cfRule type="expression" priority="124" id="{41C7468B-3D17-CD41-B095-AFD4B9E6FC7E}">
            <xm:f>AND($AH11&lt;&gt;"",$AH11='Drop List'!$B$138,Admin!$H$63="On")</xm:f>
            <x14:dxf>
              <font>
                <b/>
                <i val="0"/>
                <color theme="0"/>
              </font>
              <fill>
                <patternFill>
                  <bgColor rgb="FFF03A63"/>
                </patternFill>
              </fill>
              <border>
                <left/>
                <right/>
                <top style="thin">
                  <color auto="1"/>
                </top>
                <bottom style="thin">
                  <color auto="1"/>
                </bottom>
                <vertical/>
                <horizontal/>
              </border>
            </x14:dxf>
          </x14:cfRule>
          <x14:cfRule type="expression" priority="36" id="{707C3518-D5C9-CE43-8C4F-7D007E24FCA8}">
            <xm:f>AND($AH11&lt;&gt;"",$AH11='Drop List'!$B$158,Admin!$H$63="On")</xm:f>
            <x14:dxf>
              <font>
                <b/>
                <i val="0"/>
                <color theme="1"/>
              </font>
              <fill>
                <patternFill>
                  <bgColor rgb="FFFC8EB5"/>
                </patternFill>
              </fill>
              <border>
                <left/>
                <right/>
                <top style="thin">
                  <color auto="1"/>
                </top>
                <bottom style="thin">
                  <color auto="1"/>
                </bottom>
                <vertical/>
                <horizontal/>
              </border>
            </x14:dxf>
          </x14:cfRule>
          <xm:sqref>AH11:AM56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4E82A-F4B0-5740-A808-6A036047DD42}">
  <sheetPr codeName="Sheet3">
    <pageSetUpPr fitToPage="1"/>
  </sheetPr>
  <dimension ref="B1:AJ71"/>
  <sheetViews>
    <sheetView showGridLines="0" showRowColHeaders="0" zoomScaleNormal="100" workbookViewId="0">
      <selection activeCell="C11" sqref="C11:I12"/>
    </sheetView>
  </sheetViews>
  <sheetFormatPr baseColWidth="10" defaultColWidth="9.1640625" defaultRowHeight="15" x14ac:dyDescent="0.2"/>
  <cols>
    <col min="1" max="26" width="4.6640625" style="1" customWidth="1"/>
    <col min="27" max="27" width="2.6640625" style="1" customWidth="1"/>
    <col min="28" max="29" width="4.6640625" style="1" customWidth="1"/>
    <col min="30" max="34" width="9.83203125" style="1" customWidth="1"/>
    <col min="35" max="35" width="4.6640625" style="1" customWidth="1"/>
    <col min="36" max="36" width="2.6640625" style="1" customWidth="1"/>
    <col min="37" max="16384" width="9.1640625" style="1"/>
  </cols>
  <sheetData>
    <row r="1" spans="2:36" ht="16" thickBot="1" x14ac:dyDescent="0.25"/>
    <row r="2" spans="2:36" x14ac:dyDescent="0.2">
      <c r="B2" s="477"/>
      <c r="C2" s="478"/>
      <c r="D2" s="478"/>
      <c r="E2" s="478"/>
      <c r="F2" s="478"/>
      <c r="G2" s="478"/>
      <c r="H2" s="478"/>
      <c r="I2" s="478"/>
      <c r="J2" s="478"/>
      <c r="K2" s="478"/>
      <c r="L2" s="478"/>
      <c r="M2" s="478"/>
      <c r="N2" s="478"/>
      <c r="O2" s="478"/>
      <c r="P2" s="478"/>
      <c r="Q2" s="478"/>
      <c r="R2" s="478"/>
      <c r="S2" s="478"/>
      <c r="T2" s="478"/>
      <c r="U2" s="478"/>
      <c r="V2" s="478"/>
      <c r="W2" s="478"/>
      <c r="X2" s="478"/>
      <c r="Y2" s="478"/>
      <c r="Z2" s="479"/>
      <c r="AA2" s="3"/>
      <c r="AC2" s="321"/>
      <c r="AD2" s="322"/>
      <c r="AE2" s="322"/>
      <c r="AF2" s="322"/>
      <c r="AG2" s="322"/>
      <c r="AH2" s="322"/>
      <c r="AI2" s="323"/>
      <c r="AJ2" s="3"/>
    </row>
    <row r="3" spans="2:36" ht="30" customHeight="1" x14ac:dyDescent="0.2">
      <c r="B3" s="480"/>
      <c r="C3" s="769" t="s">
        <v>80</v>
      </c>
      <c r="D3" s="770"/>
      <c r="E3" s="770"/>
      <c r="F3" s="771"/>
      <c r="G3" s="772" t="str">
        <f>IFERROR(IF($U$5="Custom Config",HLOOKUP("Yes",ConfigDept,2,FALSE),HLOOKUP("Yes",ConfigDefault,2,FALSE)),"")</f>
        <v>Jurassic Hospital Emergency Department</v>
      </c>
      <c r="H3" s="772"/>
      <c r="I3" s="772"/>
      <c r="J3" s="772"/>
      <c r="K3" s="772"/>
      <c r="L3" s="772"/>
      <c r="M3" s="772"/>
      <c r="N3" s="772"/>
      <c r="O3" s="772"/>
      <c r="P3" s="773"/>
      <c r="Q3" s="481"/>
      <c r="R3" s="779" t="s">
        <v>809</v>
      </c>
      <c r="S3" s="780"/>
      <c r="T3" s="781"/>
      <c r="U3" s="782" t="s">
        <v>784</v>
      </c>
      <c r="V3" s="782"/>
      <c r="W3" s="782"/>
      <c r="X3" s="782"/>
      <c r="Y3" s="783"/>
      <c r="Z3" s="482"/>
      <c r="AA3" s="3"/>
      <c r="AC3" s="324"/>
      <c r="AD3" s="867" t="s">
        <v>433</v>
      </c>
      <c r="AE3" s="867"/>
      <c r="AF3" s="867"/>
      <c r="AG3" s="867"/>
      <c r="AH3" s="867"/>
      <c r="AI3" s="325"/>
      <c r="AJ3" s="3"/>
    </row>
    <row r="4" spans="2:36" ht="30" customHeight="1" x14ac:dyDescent="0.2">
      <c r="B4" s="480"/>
      <c r="C4" s="769" t="s">
        <v>81</v>
      </c>
      <c r="D4" s="770"/>
      <c r="E4" s="770"/>
      <c r="F4" s="771"/>
      <c r="G4" s="768" t="str">
        <f ca="1">Backend!B2</f>
        <v>Activated</v>
      </c>
      <c r="H4" s="768"/>
      <c r="I4" s="768"/>
      <c r="J4" s="768"/>
      <c r="K4" s="768"/>
      <c r="L4" s="768"/>
      <c r="M4" s="768"/>
      <c r="N4" s="768"/>
      <c r="O4" s="768"/>
      <c r="P4" s="784"/>
      <c r="Q4" s="481"/>
      <c r="R4" s="779" t="s">
        <v>810</v>
      </c>
      <c r="S4" s="780"/>
      <c r="T4" s="781"/>
      <c r="U4" s="782" t="s">
        <v>785</v>
      </c>
      <c r="V4" s="782"/>
      <c r="W4" s="782"/>
      <c r="X4" s="782"/>
      <c r="Y4" s="783"/>
      <c r="Z4" s="482"/>
      <c r="AA4" s="3"/>
      <c r="AC4" s="324"/>
      <c r="AD4" s="865" t="s">
        <v>818</v>
      </c>
      <c r="AE4" s="865"/>
      <c r="AF4" s="865"/>
      <c r="AG4" s="865"/>
      <c r="AH4" s="865"/>
      <c r="AI4" s="325"/>
      <c r="AJ4" s="3"/>
    </row>
    <row r="5" spans="2:36" ht="30" customHeight="1" thickBot="1" x14ac:dyDescent="0.25">
      <c r="B5" s="480"/>
      <c r="C5" s="785" t="s">
        <v>530</v>
      </c>
      <c r="D5" s="785"/>
      <c r="E5" s="785"/>
      <c r="F5" s="786"/>
      <c r="G5" s="787" t="str">
        <f ca="1">IFERROR(IF(Backend!$D$2=0,"",TEXT(Backend!$J$17,"dd mmmm yyyy")),"")</f>
        <v>01 February 2026</v>
      </c>
      <c r="H5" s="788"/>
      <c r="I5" s="788"/>
      <c r="J5" s="788"/>
      <c r="K5" s="788"/>
      <c r="L5" s="788"/>
      <c r="M5" s="788"/>
      <c r="N5" s="788"/>
      <c r="O5" s="788"/>
      <c r="P5" s="788"/>
      <c r="Q5" s="481"/>
      <c r="R5" s="789" t="s">
        <v>620</v>
      </c>
      <c r="S5" s="790"/>
      <c r="T5" s="791"/>
      <c r="U5" s="792" t="str">
        <f>IFERROR(IF(Front!$E$15="","Custom",Front!$E$15),"Custom")</f>
        <v>Default ED</v>
      </c>
      <c r="V5" s="792"/>
      <c r="W5" s="792"/>
      <c r="X5" s="792"/>
      <c r="Y5" s="793"/>
      <c r="Z5" s="482"/>
      <c r="AA5" s="3"/>
      <c r="AC5" s="324"/>
      <c r="AD5" s="865"/>
      <c r="AE5" s="865"/>
      <c r="AF5" s="865"/>
      <c r="AG5" s="865"/>
      <c r="AH5" s="865"/>
      <c r="AI5" s="325"/>
      <c r="AJ5" s="3"/>
    </row>
    <row r="6" spans="2:36" x14ac:dyDescent="0.2">
      <c r="B6" s="480"/>
      <c r="C6" s="484"/>
      <c r="D6" s="484"/>
      <c r="E6" s="484"/>
      <c r="F6" s="484"/>
      <c r="G6" s="484"/>
      <c r="H6" s="484"/>
      <c r="I6" s="484"/>
      <c r="J6" s="484"/>
      <c r="K6" s="484"/>
      <c r="L6" s="484"/>
      <c r="M6" s="484"/>
      <c r="N6" s="484"/>
      <c r="O6" s="484"/>
      <c r="P6" s="484"/>
      <c r="Q6" s="481"/>
      <c r="R6" s="483"/>
      <c r="S6" s="483"/>
      <c r="T6" s="483"/>
      <c r="U6" s="483"/>
      <c r="V6" s="483"/>
      <c r="W6" s="483"/>
      <c r="X6" s="483"/>
      <c r="Y6" s="483"/>
      <c r="Z6" s="482"/>
      <c r="AA6" s="3"/>
      <c r="AC6" s="324"/>
      <c r="AD6" s="865"/>
      <c r="AE6" s="865"/>
      <c r="AF6" s="865"/>
      <c r="AG6" s="865"/>
      <c r="AH6" s="865"/>
      <c r="AI6" s="325"/>
      <c r="AJ6" s="3"/>
    </row>
    <row r="7" spans="2:36" ht="30" customHeight="1" thickBot="1" x14ac:dyDescent="0.25">
      <c r="B7" s="480"/>
      <c r="C7" s="774" t="s">
        <v>82</v>
      </c>
      <c r="D7" s="775"/>
      <c r="E7" s="775"/>
      <c r="F7" s="776"/>
      <c r="G7" s="777" t="str">
        <f>IFERROR(IF($U$5="Custom Config",HLOOKUP("Yes",ConfigDept,3,FALSE),HLOOKUP("Yes",ConfigDefault,3,FALSE)),"")</f>
        <v>ED Paediatric Resuscitation Drugs</v>
      </c>
      <c r="H7" s="777"/>
      <c r="I7" s="777"/>
      <c r="J7" s="777"/>
      <c r="K7" s="777"/>
      <c r="L7" s="777"/>
      <c r="M7" s="777"/>
      <c r="N7" s="777"/>
      <c r="O7" s="777"/>
      <c r="P7" s="777"/>
      <c r="Q7" s="777"/>
      <c r="R7" s="777"/>
      <c r="S7" s="777"/>
      <c r="T7" s="777"/>
      <c r="U7" s="777"/>
      <c r="V7" s="777"/>
      <c r="W7" s="777"/>
      <c r="X7" s="777"/>
      <c r="Y7" s="778"/>
      <c r="Z7" s="482"/>
      <c r="AA7" s="3"/>
      <c r="AC7" s="324"/>
      <c r="AD7" s="865"/>
      <c r="AE7" s="865"/>
      <c r="AF7" s="865"/>
      <c r="AG7" s="865"/>
      <c r="AH7" s="865"/>
      <c r="AI7" s="325"/>
      <c r="AJ7" s="3"/>
    </row>
    <row r="8" spans="2:36" ht="13" customHeight="1" x14ac:dyDescent="0.35">
      <c r="B8" s="480"/>
      <c r="C8" s="826"/>
      <c r="D8" s="826"/>
      <c r="E8" s="826"/>
      <c r="F8" s="826"/>
      <c r="G8" s="826"/>
      <c r="H8" s="826"/>
      <c r="I8" s="826"/>
      <c r="J8" s="826"/>
      <c r="K8" s="826"/>
      <c r="L8" s="826"/>
      <c r="M8" s="826"/>
      <c r="N8" s="826"/>
      <c r="O8" s="826"/>
      <c r="P8" s="826"/>
      <c r="Q8" s="826"/>
      <c r="R8" s="826"/>
      <c r="S8" s="826"/>
      <c r="T8" s="826"/>
      <c r="U8" s="826"/>
      <c r="V8" s="826"/>
      <c r="W8" s="826"/>
      <c r="X8" s="826"/>
      <c r="Y8" s="826"/>
      <c r="Z8" s="485"/>
      <c r="AA8" s="3"/>
      <c r="AC8" s="324"/>
      <c r="AD8" s="865"/>
      <c r="AE8" s="865"/>
      <c r="AF8" s="865"/>
      <c r="AG8" s="865"/>
      <c r="AH8" s="865"/>
      <c r="AI8" s="325"/>
      <c r="AJ8" s="3"/>
    </row>
    <row r="9" spans="2:36" ht="26" customHeight="1" thickBot="1" x14ac:dyDescent="0.25">
      <c r="B9" s="480"/>
      <c r="C9" s="836" t="s">
        <v>807</v>
      </c>
      <c r="D9" s="836"/>
      <c r="E9" s="836"/>
      <c r="F9" s="836"/>
      <c r="G9" s="836"/>
      <c r="H9" s="759" t="s">
        <v>119</v>
      </c>
      <c r="I9" s="760"/>
      <c r="J9" s="486"/>
      <c r="K9" s="836" t="s">
        <v>808</v>
      </c>
      <c r="L9" s="836"/>
      <c r="M9" s="836"/>
      <c r="N9" s="836"/>
      <c r="O9" s="836"/>
      <c r="P9" s="759" t="s">
        <v>119</v>
      </c>
      <c r="Q9" s="760"/>
      <c r="R9" s="487"/>
      <c r="S9" s="833" t="s">
        <v>805</v>
      </c>
      <c r="T9" s="834"/>
      <c r="U9" s="834"/>
      <c r="V9" s="834"/>
      <c r="W9" s="834"/>
      <c r="X9" s="834"/>
      <c r="Y9" s="835"/>
      <c r="Z9" s="488"/>
      <c r="AA9" s="3"/>
      <c r="AC9" s="324"/>
      <c r="AD9" s="865"/>
      <c r="AE9" s="865"/>
      <c r="AF9" s="865"/>
      <c r="AG9" s="865"/>
      <c r="AH9" s="865"/>
      <c r="AI9" s="325"/>
      <c r="AJ9" s="3"/>
    </row>
    <row r="10" spans="2:36" ht="6" customHeight="1" x14ac:dyDescent="0.2">
      <c r="B10" s="480"/>
      <c r="C10" s="756"/>
      <c r="D10" s="757"/>
      <c r="E10" s="757"/>
      <c r="F10" s="757"/>
      <c r="G10" s="757"/>
      <c r="H10" s="757"/>
      <c r="I10" s="758"/>
      <c r="J10" s="486"/>
      <c r="K10" s="756"/>
      <c r="L10" s="757"/>
      <c r="M10" s="757"/>
      <c r="N10" s="757"/>
      <c r="O10" s="757"/>
      <c r="P10" s="757"/>
      <c r="Q10" s="758"/>
      <c r="R10" s="487"/>
      <c r="S10" s="674"/>
      <c r="T10" s="675"/>
      <c r="U10" s="675"/>
      <c r="V10" s="675"/>
      <c r="W10" s="675"/>
      <c r="X10" s="675"/>
      <c r="Y10" s="676"/>
      <c r="Z10" s="488"/>
      <c r="AA10" s="3"/>
      <c r="AC10" s="324"/>
      <c r="AD10" s="865"/>
      <c r="AE10" s="865"/>
      <c r="AF10" s="865"/>
      <c r="AG10" s="865"/>
      <c r="AH10" s="865"/>
      <c r="AI10" s="325"/>
      <c r="AJ10" s="3"/>
    </row>
    <row r="11" spans="2:36" ht="13" customHeight="1" x14ac:dyDescent="0.2">
      <c r="B11" s="480"/>
      <c r="C11" s="807" t="str">
        <f>IFERROR(IF($U$5="Custom Config",HLOOKUP("Yes",ConfigDept,4,FALSE),HLOOKUP("Yes",ConfigDefault,4,FALSE)),"")</f>
        <v>Cardiac arrest</v>
      </c>
      <c r="D11" s="808"/>
      <c r="E11" s="808"/>
      <c r="F11" s="808"/>
      <c r="G11" s="808"/>
      <c r="H11" s="808"/>
      <c r="I11" s="809"/>
      <c r="J11" s="754" t="str">
        <f>IF($U$5="Custom","Y",IF($C11=HLOOKUP("Yes",ConfigDefault,4,FALSE),"Y","N"))</f>
        <v>Y</v>
      </c>
      <c r="K11" s="807" t="str">
        <f>IFERROR(IF($U$5="Custom Config",HLOOKUP("Yes",ConfigDept,27,FALSE),HLOOKUP("Yes",ConfigDefault,27,FALSE)),"")</f>
        <v>Status Epilepticus</v>
      </c>
      <c r="L11" s="808"/>
      <c r="M11" s="808"/>
      <c r="N11" s="808"/>
      <c r="O11" s="808"/>
      <c r="P11" s="808"/>
      <c r="Q11" s="809"/>
      <c r="R11" s="754" t="str">
        <f>IF($U$5="Custom","Y",IF($K11=HLOOKUP("Yes",ConfigDefault,27,FALSE),"Y","N"))</f>
        <v>Y</v>
      </c>
      <c r="S11" s="861" t="str">
        <f>IFERROR(IF($U$5="Custom Config",HLOOKUP("Yes",ConfigDept,50,FALSE),HLOOKUP("Yes",ConfigDefault,50,FALSE)),"")</f>
        <v>Enter Custom Heading 1</v>
      </c>
      <c r="T11" s="862"/>
      <c r="U11" s="862"/>
      <c r="V11" s="862"/>
      <c r="W11" s="862"/>
      <c r="X11" s="862"/>
      <c r="Y11" s="863"/>
      <c r="Z11" s="752" t="str">
        <f>IF($U$5="Custom","Y",IF($S11=HLOOKUP("Yes",ConfigDefault,50,FALSE),"Y","N"))</f>
        <v>Y</v>
      </c>
      <c r="AA11" s="3"/>
      <c r="AC11" s="324"/>
      <c r="AD11" s="865"/>
      <c r="AE11" s="865"/>
      <c r="AF11" s="865"/>
      <c r="AG11" s="865"/>
      <c r="AH11" s="865"/>
      <c r="AI11" s="325"/>
      <c r="AJ11" s="3"/>
    </row>
    <row r="12" spans="2:36" ht="13" customHeight="1" x14ac:dyDescent="0.2">
      <c r="B12" s="480"/>
      <c r="C12" s="807"/>
      <c r="D12" s="808"/>
      <c r="E12" s="808"/>
      <c r="F12" s="808"/>
      <c r="G12" s="808"/>
      <c r="H12" s="808"/>
      <c r="I12" s="809"/>
      <c r="J12" s="754"/>
      <c r="K12" s="807"/>
      <c r="L12" s="808"/>
      <c r="M12" s="808"/>
      <c r="N12" s="808"/>
      <c r="O12" s="808"/>
      <c r="P12" s="808"/>
      <c r="Q12" s="809"/>
      <c r="R12" s="754"/>
      <c r="S12" s="861"/>
      <c r="T12" s="862"/>
      <c r="U12" s="862"/>
      <c r="V12" s="862"/>
      <c r="W12" s="862"/>
      <c r="X12" s="862"/>
      <c r="Y12" s="863"/>
      <c r="Z12" s="752"/>
      <c r="AA12" s="3"/>
      <c r="AC12" s="324"/>
      <c r="AD12" s="865"/>
      <c r="AE12" s="865"/>
      <c r="AF12" s="865"/>
      <c r="AG12" s="865"/>
      <c r="AH12" s="865"/>
      <c r="AI12" s="325"/>
      <c r="AJ12" s="3"/>
    </row>
    <row r="13" spans="2:36" ht="13" customHeight="1" x14ac:dyDescent="0.2">
      <c r="B13" s="480"/>
      <c r="C13" s="807" t="str">
        <f>IFERROR(IF($U$5="Custom Config",HLOOKUP("Yes",ConfigDept,5,FALSE),HLOOKUP("Yes",ConfigDefault,5,FALSE)),"")</f>
        <v xml:space="preserve">Defibrillation (biphasic) </v>
      </c>
      <c r="D13" s="808"/>
      <c r="E13" s="808"/>
      <c r="F13" s="808"/>
      <c r="G13" s="808"/>
      <c r="H13" s="808"/>
      <c r="I13" s="809"/>
      <c r="J13" s="754" t="str">
        <f>IF($U$5="Custom","Y",IF($C13=HLOOKUP("Yes",ConfigDefault,5,FALSE),"Y","N"))</f>
        <v>Y</v>
      </c>
      <c r="K13" s="807" t="str">
        <f>IFERROR(IF($U$5="Custom Config",HLOOKUP("Yes",ConfigDept,28,FALSE),HLOOKUP("Yes",ConfigDefault,28,FALSE)),"")</f>
        <v>Midazolam IV (5mg/5mL)</v>
      </c>
      <c r="L13" s="808"/>
      <c r="M13" s="808"/>
      <c r="N13" s="808"/>
      <c r="O13" s="808"/>
      <c r="P13" s="808"/>
      <c r="Q13" s="809"/>
      <c r="R13" s="754" t="str">
        <f>IF($U$5="Custom","Y",IF($K13=HLOOKUP("Yes",ConfigDefault,28,FALSE),"Y","N"))</f>
        <v>Y</v>
      </c>
      <c r="S13" s="761" t="str">
        <f>IFERROR(IF($U$5="Custom Config",HLOOKUP("Yes",ConfigDept,51,FALSE),HLOOKUP("Yes",ConfigDefault,51,FALSE)),"")</f>
        <v>Enter Custom Heading 2</v>
      </c>
      <c r="T13" s="762"/>
      <c r="U13" s="762"/>
      <c r="V13" s="762"/>
      <c r="W13" s="762"/>
      <c r="X13" s="762"/>
      <c r="Y13" s="763"/>
      <c r="Z13" s="753" t="str">
        <f>IF($U$5="Custom","Y",IF($S13=HLOOKUP("Yes",ConfigDefault,51,FALSE),"Y","N"))</f>
        <v>Y</v>
      </c>
      <c r="AA13" s="3"/>
      <c r="AC13" s="324"/>
      <c r="AD13" s="865"/>
      <c r="AE13" s="865"/>
      <c r="AF13" s="865"/>
      <c r="AG13" s="865"/>
      <c r="AH13" s="865"/>
      <c r="AI13" s="325"/>
      <c r="AJ13" s="3"/>
    </row>
    <row r="14" spans="2:36" ht="13" customHeight="1" x14ac:dyDescent="0.2">
      <c r="B14" s="480"/>
      <c r="C14" s="807"/>
      <c r="D14" s="808"/>
      <c r="E14" s="808"/>
      <c r="F14" s="808"/>
      <c r="G14" s="808"/>
      <c r="H14" s="808"/>
      <c r="I14" s="809"/>
      <c r="J14" s="754"/>
      <c r="K14" s="807"/>
      <c r="L14" s="808"/>
      <c r="M14" s="808"/>
      <c r="N14" s="808"/>
      <c r="O14" s="808"/>
      <c r="P14" s="808"/>
      <c r="Q14" s="809"/>
      <c r="R14" s="754"/>
      <c r="S14" s="764"/>
      <c r="T14" s="765"/>
      <c r="U14" s="765"/>
      <c r="V14" s="765"/>
      <c r="W14" s="765"/>
      <c r="X14" s="765"/>
      <c r="Y14" s="766"/>
      <c r="Z14" s="753"/>
      <c r="AA14" s="3"/>
      <c r="AC14" s="324"/>
      <c r="AD14" s="865"/>
      <c r="AE14" s="865"/>
      <c r="AF14" s="865"/>
      <c r="AG14" s="865"/>
      <c r="AH14" s="865"/>
      <c r="AI14" s="325"/>
      <c r="AJ14" s="3"/>
    </row>
    <row r="15" spans="2:36" ht="13" customHeight="1" x14ac:dyDescent="0.2">
      <c r="B15" s="480"/>
      <c r="C15" s="827" t="str">
        <f>IFERROR(IF($U$5="Custom Config",HLOOKUP("Yes",ConfigDept,6,FALSE),HLOOKUP("Yes",ConfigDefault,6,FALSE)),"")</f>
        <v>Adrenaline IV (for cardiac arrest)</v>
      </c>
      <c r="D15" s="828"/>
      <c r="E15" s="828"/>
      <c r="F15" s="828"/>
      <c r="G15" s="828"/>
      <c r="H15" s="828"/>
      <c r="I15" s="829"/>
      <c r="J15" s="754" t="str">
        <f>IF($U$5="Custom","Y",IF($C15=HLOOKUP("Yes",ConfigDefault,6,FALSE),"Y","N"))</f>
        <v>Y</v>
      </c>
      <c r="K15" s="807" t="str">
        <f>IFERROR(IF($U$5="Custom Config",HLOOKUP("Yes",ConfigDept,29,FALSE),HLOOKUP("Yes",ConfigDefault,29,FALSE)),"")</f>
        <v>Midazolam IM (15mg/3mL)</v>
      </c>
      <c r="L15" s="808"/>
      <c r="M15" s="808"/>
      <c r="N15" s="808"/>
      <c r="O15" s="808"/>
      <c r="P15" s="808"/>
      <c r="Q15" s="809"/>
      <c r="R15" s="754" t="str">
        <f>IF($U$5="Custom","Y",IF($K15=HLOOKUP("Yes",ConfigDefault,29,FALSE),"Y","N"))</f>
        <v>Y</v>
      </c>
      <c r="S15" s="761" t="str">
        <f>IFERROR(IF($U$5="Custom Config",HLOOKUP("Yes",ConfigDept,52,FALSE),HLOOKUP("Yes",ConfigDefault,52,FALSE)),"")</f>
        <v>Enter Custom Heading 3</v>
      </c>
      <c r="T15" s="762"/>
      <c r="U15" s="762"/>
      <c r="V15" s="762"/>
      <c r="W15" s="762"/>
      <c r="X15" s="762"/>
      <c r="Y15" s="763"/>
      <c r="Z15" s="753" t="str">
        <f>IF($U$5="Custom","Y",IF($S15=HLOOKUP("Yes",ConfigDefault,52,FALSE),"Y","N"))</f>
        <v>Y</v>
      </c>
      <c r="AA15" s="3"/>
      <c r="AC15" s="324"/>
      <c r="AD15" s="865"/>
      <c r="AE15" s="865"/>
      <c r="AF15" s="865"/>
      <c r="AG15" s="865"/>
      <c r="AH15" s="865"/>
      <c r="AI15" s="325"/>
      <c r="AJ15" s="3"/>
    </row>
    <row r="16" spans="2:36" ht="13" customHeight="1" x14ac:dyDescent="0.2">
      <c r="B16" s="480"/>
      <c r="C16" s="830"/>
      <c r="D16" s="831"/>
      <c r="E16" s="831"/>
      <c r="F16" s="831"/>
      <c r="G16" s="831"/>
      <c r="H16" s="831"/>
      <c r="I16" s="832"/>
      <c r="J16" s="754"/>
      <c r="K16" s="807"/>
      <c r="L16" s="808"/>
      <c r="M16" s="808"/>
      <c r="N16" s="808"/>
      <c r="O16" s="808"/>
      <c r="P16" s="808"/>
      <c r="Q16" s="809"/>
      <c r="R16" s="754"/>
      <c r="S16" s="764"/>
      <c r="T16" s="765"/>
      <c r="U16" s="765"/>
      <c r="V16" s="765"/>
      <c r="W16" s="765"/>
      <c r="X16" s="765"/>
      <c r="Y16" s="766"/>
      <c r="Z16" s="753"/>
      <c r="AA16" s="3"/>
      <c r="AC16" s="324"/>
      <c r="AD16" s="865"/>
      <c r="AE16" s="865"/>
      <c r="AF16" s="865"/>
      <c r="AG16" s="865"/>
      <c r="AH16" s="865"/>
      <c r="AI16" s="325"/>
      <c r="AJ16" s="3"/>
    </row>
    <row r="17" spans="2:36" ht="13" customHeight="1" x14ac:dyDescent="0.2">
      <c r="B17" s="480"/>
      <c r="C17" s="807" t="str">
        <f>IFERROR(IF($U$5="Custom Config",HLOOKUP("Yes",ConfigDept,7,FALSE),HLOOKUP("Yes",ConfigDefault,7,FALSE)),"")</f>
        <v>Amiodarone (150mg/3mL)</v>
      </c>
      <c r="D17" s="808"/>
      <c r="E17" s="808"/>
      <c r="F17" s="808"/>
      <c r="G17" s="808"/>
      <c r="H17" s="808"/>
      <c r="I17" s="809"/>
      <c r="J17" s="754" t="str">
        <f>IF($U$5="Custom","Y",IF($C17=HLOOKUP("Yes",ConfigDefault,7,FALSE),"Y","N"))</f>
        <v>Y</v>
      </c>
      <c r="K17" s="807" t="str">
        <f>IFERROR(IF($U$5="Custom Config",HLOOKUP("Yes",ConfigDept,30,FALSE),HLOOKUP("Yes",ConfigDefault,30,FALSE)),"")</f>
        <v>Levetiracetam IV (500mg/5mL)</v>
      </c>
      <c r="L17" s="808"/>
      <c r="M17" s="808"/>
      <c r="N17" s="808"/>
      <c r="O17" s="808"/>
      <c r="P17" s="808"/>
      <c r="Q17" s="809"/>
      <c r="R17" s="754" t="str">
        <f>IF($U$5="Custom","Y",IF($K17=HLOOKUP("Yes",ConfigDefault,30,FALSE),"Y","N"))</f>
        <v>Y</v>
      </c>
      <c r="S17" s="761" t="str">
        <f>IFERROR(IF($U$5="Custom Config",HLOOKUP("Yes",ConfigDept,53,FALSE),HLOOKUP("Yes",ConfigDefault,53,FALSE)),"")</f>
        <v>Enter Custom Heading 4</v>
      </c>
      <c r="T17" s="762"/>
      <c r="U17" s="762"/>
      <c r="V17" s="762"/>
      <c r="W17" s="762"/>
      <c r="X17" s="762"/>
      <c r="Y17" s="763"/>
      <c r="Z17" s="753" t="str">
        <f>IF($U$5="Custom","Y",IF($S17=HLOOKUP("Yes",ConfigDefault,53,FALSE),"Y","N"))</f>
        <v>Y</v>
      </c>
      <c r="AA17" s="3"/>
      <c r="AC17" s="324"/>
      <c r="AD17" s="865"/>
      <c r="AE17" s="865"/>
      <c r="AF17" s="865"/>
      <c r="AG17" s="865"/>
      <c r="AH17" s="865"/>
      <c r="AI17" s="325"/>
      <c r="AJ17" s="3"/>
    </row>
    <row r="18" spans="2:36" ht="13" customHeight="1" x14ac:dyDescent="0.2">
      <c r="B18" s="480"/>
      <c r="C18" s="807"/>
      <c r="D18" s="808"/>
      <c r="E18" s="808"/>
      <c r="F18" s="808"/>
      <c r="G18" s="808"/>
      <c r="H18" s="808"/>
      <c r="I18" s="809"/>
      <c r="J18" s="754"/>
      <c r="K18" s="807"/>
      <c r="L18" s="808"/>
      <c r="M18" s="808"/>
      <c r="N18" s="808"/>
      <c r="O18" s="808"/>
      <c r="P18" s="808"/>
      <c r="Q18" s="809"/>
      <c r="R18" s="754"/>
      <c r="S18" s="764"/>
      <c r="T18" s="765"/>
      <c r="U18" s="765"/>
      <c r="V18" s="765"/>
      <c r="W18" s="765"/>
      <c r="X18" s="765"/>
      <c r="Y18" s="766"/>
      <c r="Z18" s="753"/>
      <c r="AA18" s="3"/>
      <c r="AC18" s="324"/>
      <c r="AD18" s="865"/>
      <c r="AE18" s="865"/>
      <c r="AF18" s="865"/>
      <c r="AG18" s="865"/>
      <c r="AH18" s="865"/>
      <c r="AI18" s="325"/>
      <c r="AJ18" s="3"/>
    </row>
    <row r="19" spans="2:36" ht="13" customHeight="1" x14ac:dyDescent="0.2">
      <c r="B19" s="480"/>
      <c r="C19" s="807" t="str">
        <f>IFERROR(IF($U$5="Custom Config",HLOOKUP("Yes",ConfigDept,8,FALSE),HLOOKUP("Yes",ConfigDefault,8,FALSE)),"")</f>
        <v>Atropine (600mcg/1mL)</v>
      </c>
      <c r="D19" s="808"/>
      <c r="E19" s="808"/>
      <c r="F19" s="808"/>
      <c r="G19" s="808"/>
      <c r="H19" s="808"/>
      <c r="I19" s="809"/>
      <c r="J19" s="754" t="str">
        <f>IF($U$5="Custom","Y",IF($C19=HLOOKUP("Yes",ConfigDefault,8,FALSE),"Y","N"))</f>
        <v>Y</v>
      </c>
      <c r="K19" s="807" t="str">
        <f>IFERROR(IF($U$5="Custom Config",HLOOKUP("Yes",ConfigDept,31,FALSE),HLOOKUP("Yes",ConfigDefault,31,FALSE)),"")</f>
        <v>Phenytoin IV (250mg/5mL)</v>
      </c>
      <c r="L19" s="808"/>
      <c r="M19" s="808"/>
      <c r="N19" s="808"/>
      <c r="O19" s="808"/>
      <c r="P19" s="808"/>
      <c r="Q19" s="809"/>
      <c r="R19" s="754" t="str">
        <f>IF($U$5="Custom","Y",IF($K19=HLOOKUP("Yes",ConfigDefault,31,FALSE),"Y","N"))</f>
        <v>Y</v>
      </c>
      <c r="S19" s="761" t="str">
        <f>IFERROR(IF($U$5="Custom Config",HLOOKUP("Yes",ConfigDept,54,FALSE),HLOOKUP("Yes",ConfigDefault,54,FALSE)),"")</f>
        <v>Enter Custom Heading 5</v>
      </c>
      <c r="T19" s="762"/>
      <c r="U19" s="762"/>
      <c r="V19" s="762"/>
      <c r="W19" s="762"/>
      <c r="X19" s="762"/>
      <c r="Y19" s="763"/>
      <c r="Z19" s="753" t="str">
        <f>IF($U$5="Custom","Y",IF($S19=HLOOKUP("Yes",ConfigDefault,54,FALSE),"Y","N"))</f>
        <v>Y</v>
      </c>
      <c r="AA19" s="3"/>
      <c r="AC19" s="324"/>
      <c r="AD19" s="865"/>
      <c r="AE19" s="865"/>
      <c r="AF19" s="865"/>
      <c r="AG19" s="865"/>
      <c r="AH19" s="865"/>
      <c r="AI19" s="325"/>
      <c r="AJ19" s="3"/>
    </row>
    <row r="20" spans="2:36" ht="13" customHeight="1" x14ac:dyDescent="0.2">
      <c r="B20" s="480"/>
      <c r="C20" s="807"/>
      <c r="D20" s="808"/>
      <c r="E20" s="808"/>
      <c r="F20" s="808"/>
      <c r="G20" s="808"/>
      <c r="H20" s="808"/>
      <c r="I20" s="809"/>
      <c r="J20" s="754"/>
      <c r="K20" s="807"/>
      <c r="L20" s="808"/>
      <c r="M20" s="808"/>
      <c r="N20" s="808"/>
      <c r="O20" s="808"/>
      <c r="P20" s="808"/>
      <c r="Q20" s="809"/>
      <c r="R20" s="754"/>
      <c r="S20" s="764"/>
      <c r="T20" s="765"/>
      <c r="U20" s="765"/>
      <c r="V20" s="765"/>
      <c r="W20" s="765"/>
      <c r="X20" s="765"/>
      <c r="Y20" s="766"/>
      <c r="Z20" s="753"/>
      <c r="AA20" s="3"/>
      <c r="AC20" s="324"/>
      <c r="AD20" s="865"/>
      <c r="AE20" s="865"/>
      <c r="AF20" s="865"/>
      <c r="AG20" s="865"/>
      <c r="AH20" s="865"/>
      <c r="AI20" s="325"/>
      <c r="AJ20" s="3"/>
    </row>
    <row r="21" spans="2:36" ht="13" customHeight="1" x14ac:dyDescent="0.2">
      <c r="B21" s="480"/>
      <c r="C21" s="807" t="str">
        <f>IFERROR(IF($U$5="Custom Config",HLOOKUP("Yes",ConfigDept,9,FALSE),HLOOKUP("Yes",ConfigDefault,9,FALSE)),"")</f>
        <v>Bicarbonate 8.4%</v>
      </c>
      <c r="D21" s="808"/>
      <c r="E21" s="808"/>
      <c r="F21" s="808"/>
      <c r="G21" s="808"/>
      <c r="H21" s="808"/>
      <c r="I21" s="809"/>
      <c r="J21" s="754" t="str">
        <f>IF($U$5="Custom","Y",IF($C21=HLOOKUP("Yes",ConfigDefault,9,FALSE),"Y","N"))</f>
        <v>Y</v>
      </c>
      <c r="K21" s="807" t="str">
        <f>IFERROR(IF($U$5="Custom Config",HLOOKUP("Yes",ConfigDept,32,FALSE),HLOOKUP("Yes",ConfigDefault,32,FALSE)),"")</f>
        <v>Asthma</v>
      </c>
      <c r="L21" s="808"/>
      <c r="M21" s="808"/>
      <c r="N21" s="808"/>
      <c r="O21" s="808"/>
      <c r="P21" s="808"/>
      <c r="Q21" s="809"/>
      <c r="R21" s="754" t="str">
        <f>IF($U$5="Custom","Y",IF($K21=HLOOKUP("Yes",ConfigDefault,32,FALSE),"Y","N"))</f>
        <v>Y</v>
      </c>
      <c r="S21" s="761" t="str">
        <f>IFERROR(IF($U$5="Custom Config",HLOOKUP("Yes",ConfigDept,55,FALSE),HLOOKUP("Yes",ConfigDefault,55,FALSE)),"")</f>
        <v>Enter Custom Heading 6</v>
      </c>
      <c r="T21" s="762"/>
      <c r="U21" s="762"/>
      <c r="V21" s="762"/>
      <c r="W21" s="762"/>
      <c r="X21" s="762"/>
      <c r="Y21" s="763"/>
      <c r="Z21" s="753" t="str">
        <f>IF($U$5="Custom","Y",IF($S21=HLOOKUP("Yes",ConfigDefault,55,FALSE),"Y","N"))</f>
        <v>Y</v>
      </c>
      <c r="AA21" s="3"/>
      <c r="AC21" s="324"/>
      <c r="AD21" s="865"/>
      <c r="AE21" s="865"/>
      <c r="AF21" s="865"/>
      <c r="AG21" s="865"/>
      <c r="AH21" s="865"/>
      <c r="AI21" s="325"/>
      <c r="AJ21" s="3"/>
    </row>
    <row r="22" spans="2:36" ht="13" customHeight="1" x14ac:dyDescent="0.2">
      <c r="B22" s="480"/>
      <c r="C22" s="807"/>
      <c r="D22" s="808"/>
      <c r="E22" s="808"/>
      <c r="F22" s="808"/>
      <c r="G22" s="808"/>
      <c r="H22" s="808"/>
      <c r="I22" s="809"/>
      <c r="J22" s="754"/>
      <c r="K22" s="807"/>
      <c r="L22" s="808"/>
      <c r="M22" s="808"/>
      <c r="N22" s="808"/>
      <c r="O22" s="808"/>
      <c r="P22" s="808"/>
      <c r="Q22" s="809"/>
      <c r="R22" s="754"/>
      <c r="S22" s="764"/>
      <c r="T22" s="765"/>
      <c r="U22" s="765"/>
      <c r="V22" s="765"/>
      <c r="W22" s="765"/>
      <c r="X22" s="765"/>
      <c r="Y22" s="766"/>
      <c r="Z22" s="753"/>
      <c r="AA22" s="3"/>
      <c r="AC22" s="324"/>
      <c r="AD22" s="865"/>
      <c r="AE22" s="865"/>
      <c r="AF22" s="865"/>
      <c r="AG22" s="865"/>
      <c r="AH22" s="865"/>
      <c r="AI22" s="325"/>
      <c r="AJ22" s="3"/>
    </row>
    <row r="23" spans="2:36" ht="13" customHeight="1" x14ac:dyDescent="0.2">
      <c r="B23" s="480"/>
      <c r="C23" s="807" t="str">
        <f>IFERROR(IF($U$5="Custom Config",HLOOKUP("Yes",ConfigDept,10,FALSE),HLOOKUP("Yes",ConfigDefault,10,FALSE)),"")</f>
        <v>Calcium Gluconate 10%</v>
      </c>
      <c r="D23" s="808"/>
      <c r="E23" s="808"/>
      <c r="F23" s="808"/>
      <c r="G23" s="808"/>
      <c r="H23" s="808"/>
      <c r="I23" s="809"/>
      <c r="J23" s="754" t="str">
        <f>IF($U$5="Custom","Y",IF($C23=HLOOKUP("Yes",ConfigDefault,10,FALSE),"Y","N"))</f>
        <v>Y</v>
      </c>
      <c r="K23" s="807" t="str">
        <f>IFERROR(IF($U$5="Custom Config",HLOOKUP("Yes",ConfigDept,33,FALSE),HLOOKUP("Yes",ConfigDefault,33,FALSE)),"")</f>
        <v>Magnesium Sulphate 50%</v>
      </c>
      <c r="L23" s="808"/>
      <c r="M23" s="808"/>
      <c r="N23" s="808"/>
      <c r="O23" s="808"/>
      <c r="P23" s="808"/>
      <c r="Q23" s="809"/>
      <c r="R23" s="754" t="str">
        <f>IF($U$5="Custom","Y",IF($K23=HLOOKUP("Yes",ConfigDefault,33,FALSE),"Y","N"))</f>
        <v>Y</v>
      </c>
      <c r="S23" s="761" t="str">
        <f>IFERROR(IF($U$5="Custom Config",HLOOKUP("Yes",ConfigDept,56,FALSE),HLOOKUP("Yes",ConfigDefault,56,FALSE)),"")</f>
        <v>Enter Custom Heading 7</v>
      </c>
      <c r="T23" s="762"/>
      <c r="U23" s="762"/>
      <c r="V23" s="762"/>
      <c r="W23" s="762"/>
      <c r="X23" s="762"/>
      <c r="Y23" s="763"/>
      <c r="Z23" s="753" t="str">
        <f>IF($U$5="Custom","Y",IF($S23=HLOOKUP("Yes",ConfigDefault,56,FALSE),"Y","N"))</f>
        <v>Y</v>
      </c>
      <c r="AA23" s="3"/>
      <c r="AC23" s="324"/>
      <c r="AD23" s="865"/>
      <c r="AE23" s="865"/>
      <c r="AF23" s="865"/>
      <c r="AG23" s="865"/>
      <c r="AH23" s="865"/>
      <c r="AI23" s="325"/>
      <c r="AJ23" s="3"/>
    </row>
    <row r="24" spans="2:36" ht="13" customHeight="1" x14ac:dyDescent="0.2">
      <c r="B24" s="480"/>
      <c r="C24" s="807"/>
      <c r="D24" s="808"/>
      <c r="E24" s="808"/>
      <c r="F24" s="808"/>
      <c r="G24" s="808"/>
      <c r="H24" s="808"/>
      <c r="I24" s="809"/>
      <c r="J24" s="754"/>
      <c r="K24" s="807"/>
      <c r="L24" s="808"/>
      <c r="M24" s="808"/>
      <c r="N24" s="808"/>
      <c r="O24" s="808"/>
      <c r="P24" s="808"/>
      <c r="Q24" s="809"/>
      <c r="R24" s="754"/>
      <c r="S24" s="764"/>
      <c r="T24" s="765"/>
      <c r="U24" s="765"/>
      <c r="V24" s="765"/>
      <c r="W24" s="765"/>
      <c r="X24" s="765"/>
      <c r="Y24" s="766"/>
      <c r="Z24" s="753"/>
      <c r="AA24" s="3"/>
      <c r="AC24" s="324"/>
      <c r="AD24" s="865"/>
      <c r="AE24" s="865"/>
      <c r="AF24" s="865"/>
      <c r="AG24" s="865"/>
      <c r="AH24" s="865"/>
      <c r="AI24" s="325"/>
      <c r="AJ24" s="3"/>
    </row>
    <row r="25" spans="2:36" ht="13" customHeight="1" x14ac:dyDescent="0.2">
      <c r="B25" s="480"/>
      <c r="C25" s="807" t="str">
        <f>IFERROR(IF($U$5="Custom Config",HLOOKUP("Yes",ConfigDept,11,FALSE),HLOOKUP("Yes",ConfigDefault,11,FALSE)),"")</f>
        <v>Glucose 10%</v>
      </c>
      <c r="D25" s="808"/>
      <c r="E25" s="808"/>
      <c r="F25" s="808"/>
      <c r="G25" s="808"/>
      <c r="H25" s="808"/>
      <c r="I25" s="809"/>
      <c r="J25" s="754" t="str">
        <f>IF($U$5="Custom","Y",IF($C25=HLOOKUP("Yes",ConfigDefault,11,FALSE),"Y","N"))</f>
        <v>Y</v>
      </c>
      <c r="K25" s="807" t="str">
        <f>IFERROR(IF($U$5="Custom Config",HLOOKUP("Yes",ConfigDept,34,FALSE),HLOOKUP("Yes",ConfigDefault,34,FALSE)),"")</f>
        <v>Salbutamol IV Bolus (500mcg/1mL)</v>
      </c>
      <c r="L25" s="808"/>
      <c r="M25" s="808"/>
      <c r="N25" s="808"/>
      <c r="O25" s="808"/>
      <c r="P25" s="808"/>
      <c r="Q25" s="809"/>
      <c r="R25" s="754" t="str">
        <f>IF($U$5="Custom","Y",IF($K25=HLOOKUP("Yes",ConfigDefault,34,FALSE),"Y","N"))</f>
        <v>Y</v>
      </c>
      <c r="S25" s="761" t="str">
        <f>IFERROR(IF($U$5="Custom Config",HLOOKUP("Yes",ConfigDept,57,FALSE),HLOOKUP("Yes",ConfigDefault,57,FALSE)),"")</f>
        <v>Enter Custom Heading 8</v>
      </c>
      <c r="T25" s="762"/>
      <c r="U25" s="762"/>
      <c r="V25" s="762"/>
      <c r="W25" s="762"/>
      <c r="X25" s="762"/>
      <c r="Y25" s="763"/>
      <c r="Z25" s="753" t="str">
        <f>IF($U$5="Custom","Y",IF($S25=HLOOKUP("Yes",ConfigDefault,57,FALSE),"Y","N"))</f>
        <v>Y</v>
      </c>
      <c r="AA25" s="3"/>
      <c r="AC25" s="324"/>
      <c r="AD25" s="865"/>
      <c r="AE25" s="865"/>
      <c r="AF25" s="865"/>
      <c r="AG25" s="865"/>
      <c r="AH25" s="865"/>
      <c r="AI25" s="325"/>
      <c r="AJ25" s="3"/>
    </row>
    <row r="26" spans="2:36" ht="13" customHeight="1" x14ac:dyDescent="0.2">
      <c r="B26" s="480"/>
      <c r="C26" s="807"/>
      <c r="D26" s="808"/>
      <c r="E26" s="808"/>
      <c r="F26" s="808"/>
      <c r="G26" s="808"/>
      <c r="H26" s="808"/>
      <c r="I26" s="809"/>
      <c r="J26" s="754"/>
      <c r="K26" s="807"/>
      <c r="L26" s="808"/>
      <c r="M26" s="808"/>
      <c r="N26" s="808"/>
      <c r="O26" s="808"/>
      <c r="P26" s="808"/>
      <c r="Q26" s="809"/>
      <c r="R26" s="754"/>
      <c r="S26" s="764"/>
      <c r="T26" s="765"/>
      <c r="U26" s="765"/>
      <c r="V26" s="765"/>
      <c r="W26" s="765"/>
      <c r="X26" s="765"/>
      <c r="Y26" s="766"/>
      <c r="Z26" s="753"/>
      <c r="AA26" s="3"/>
      <c r="AC26" s="324"/>
      <c r="AD26" s="865"/>
      <c r="AE26" s="865"/>
      <c r="AF26" s="865"/>
      <c r="AG26" s="865"/>
      <c r="AH26" s="865"/>
      <c r="AI26" s="325"/>
      <c r="AJ26" s="3"/>
    </row>
    <row r="27" spans="2:36" ht="13" customHeight="1" x14ac:dyDescent="0.2">
      <c r="B27" s="480"/>
      <c r="C27" s="807" t="str">
        <f>IFERROR(IF($U$5="Custom Config",HLOOKUP("Yes",ConfigDept,12,FALSE),HLOOKUP("Yes",ConfigDefault,12,FALSE)),"")</f>
        <v>RSI</v>
      </c>
      <c r="D27" s="808"/>
      <c r="E27" s="808"/>
      <c r="F27" s="808"/>
      <c r="G27" s="808"/>
      <c r="H27" s="808"/>
      <c r="I27" s="809"/>
      <c r="J27" s="754" t="str">
        <f>IF($U$5="Custom","Y",IF($C27=HLOOKUP("Yes",ConfigDefault,12,FALSE),"Y","N"))</f>
        <v>Y</v>
      </c>
      <c r="K27" s="807" t="str">
        <f>IFERROR(IF($U$5="Custom Config",HLOOKUP("Yes",ConfigDept,35,FALSE),HLOOKUP("Yes",ConfigDefault,35,FALSE)),"")</f>
        <v>Aminophylline Load (250mg/10mL)</v>
      </c>
      <c r="L27" s="808"/>
      <c r="M27" s="808"/>
      <c r="N27" s="808"/>
      <c r="O27" s="808"/>
      <c r="P27" s="808"/>
      <c r="Q27" s="809"/>
      <c r="R27" s="755" t="str">
        <f>IF($U$5="Custom","Y",IF($K27=HLOOKUP("Yes",ConfigDefault,35,FALSE),"Y","N"))</f>
        <v>Y</v>
      </c>
      <c r="S27" s="767"/>
      <c r="T27" s="767"/>
      <c r="U27" s="767"/>
      <c r="V27" s="767"/>
      <c r="W27" s="767"/>
      <c r="X27" s="767"/>
      <c r="Y27" s="767"/>
      <c r="Z27" s="684"/>
      <c r="AA27" s="3"/>
      <c r="AC27" s="324"/>
      <c r="AD27" s="865"/>
      <c r="AE27" s="865"/>
      <c r="AF27" s="865"/>
      <c r="AG27" s="865"/>
      <c r="AH27" s="865"/>
      <c r="AI27" s="325"/>
      <c r="AJ27" s="3"/>
    </row>
    <row r="28" spans="2:36" ht="13" customHeight="1" x14ac:dyDescent="0.2">
      <c r="B28" s="480"/>
      <c r="C28" s="807"/>
      <c r="D28" s="808"/>
      <c r="E28" s="808"/>
      <c r="F28" s="808"/>
      <c r="G28" s="808"/>
      <c r="H28" s="808"/>
      <c r="I28" s="809"/>
      <c r="J28" s="754"/>
      <c r="K28" s="807"/>
      <c r="L28" s="808"/>
      <c r="M28" s="808"/>
      <c r="N28" s="808"/>
      <c r="O28" s="808"/>
      <c r="P28" s="808"/>
      <c r="Q28" s="809"/>
      <c r="R28" s="755"/>
      <c r="S28" s="768"/>
      <c r="T28" s="768"/>
      <c r="U28" s="768"/>
      <c r="V28" s="768"/>
      <c r="W28" s="768"/>
      <c r="X28" s="768"/>
      <c r="Y28" s="768"/>
      <c r="Z28" s="684"/>
      <c r="AA28" s="3"/>
      <c r="AC28" s="324"/>
      <c r="AD28" s="865"/>
      <c r="AE28" s="865"/>
      <c r="AF28" s="865"/>
      <c r="AG28" s="865"/>
      <c r="AH28" s="865"/>
      <c r="AI28" s="325"/>
      <c r="AJ28" s="3"/>
    </row>
    <row r="29" spans="2:36" ht="13" customHeight="1" x14ac:dyDescent="0.2">
      <c r="B29" s="480"/>
      <c r="C29" s="807" t="str">
        <f>IFERROR(IF($U$5="Custom Config",HLOOKUP("Yes",ConfigDept,13,FALSE),HLOOKUP("Yes",ConfigDefault,13,FALSE)),"")</f>
        <v>ETT Size</v>
      </c>
      <c r="D29" s="808"/>
      <c r="E29" s="808"/>
      <c r="F29" s="808"/>
      <c r="G29" s="808"/>
      <c r="H29" s="808"/>
      <c r="I29" s="809"/>
      <c r="J29" s="754" t="str">
        <f>IF($U$5="Custom","Y",IF($C29=HLOOKUP("Yes",ConfigDefault,13,FALSE),"Y","N"))</f>
        <v>Y</v>
      </c>
      <c r="K29" s="807" t="str">
        <f>IFERROR(IF($U$5="Custom Config",HLOOKUP("Yes",ConfigDept,36,FALSE),HLOOKUP("Yes",ConfigDefault,36,FALSE)),"")</f>
        <v>Hydrocortisone IV (for wheeze)</v>
      </c>
      <c r="L29" s="808"/>
      <c r="M29" s="808"/>
      <c r="N29" s="808"/>
      <c r="O29" s="808"/>
      <c r="P29" s="808"/>
      <c r="Q29" s="809"/>
      <c r="R29" s="754" t="str">
        <f>IF($U$5="Custom","Y",IF($K29=HLOOKUP("Yes",ConfigDefault,36,FALSE),"Y","N"))</f>
        <v>Y</v>
      </c>
      <c r="S29" s="868" t="s">
        <v>806</v>
      </c>
      <c r="T29" s="869"/>
      <c r="U29" s="869"/>
      <c r="V29" s="869"/>
      <c r="W29" s="869"/>
      <c r="X29" s="869"/>
      <c r="Y29" s="870"/>
      <c r="Z29" s="684"/>
      <c r="AA29" s="3"/>
      <c r="AC29" s="324"/>
      <c r="AD29" s="865"/>
      <c r="AE29" s="865"/>
      <c r="AF29" s="865"/>
      <c r="AG29" s="865"/>
      <c r="AH29" s="865"/>
      <c r="AI29" s="325"/>
      <c r="AJ29" s="3"/>
    </row>
    <row r="30" spans="2:36" ht="13" customHeight="1" thickBot="1" x14ac:dyDescent="0.25">
      <c r="B30" s="480"/>
      <c r="C30" s="807"/>
      <c r="D30" s="808"/>
      <c r="E30" s="808"/>
      <c r="F30" s="808"/>
      <c r="G30" s="808"/>
      <c r="H30" s="808"/>
      <c r="I30" s="809"/>
      <c r="J30" s="754"/>
      <c r="K30" s="807"/>
      <c r="L30" s="808"/>
      <c r="M30" s="808"/>
      <c r="N30" s="808"/>
      <c r="O30" s="808"/>
      <c r="P30" s="808"/>
      <c r="Q30" s="809"/>
      <c r="R30" s="754"/>
      <c r="S30" s="871"/>
      <c r="T30" s="872"/>
      <c r="U30" s="872"/>
      <c r="V30" s="872"/>
      <c r="W30" s="872"/>
      <c r="X30" s="872"/>
      <c r="Y30" s="873"/>
      <c r="Z30" s="684"/>
      <c r="AA30" s="3"/>
      <c r="AC30" s="324"/>
      <c r="AD30" s="865"/>
      <c r="AE30" s="865"/>
      <c r="AF30" s="865"/>
      <c r="AG30" s="865"/>
      <c r="AH30" s="865"/>
      <c r="AI30" s="325"/>
      <c r="AJ30" s="3"/>
    </row>
    <row r="31" spans="2:36" ht="13" customHeight="1" x14ac:dyDescent="0.2">
      <c r="B31" s="480"/>
      <c r="C31" s="807" t="str">
        <f>IFERROR(IF($U$5="Custom Config",HLOOKUP("Yes",ConfigDept,14,FALSE),HLOOKUP("Yes",ConfigDefault,14,FALSE)),"")</f>
        <v>LMA Size (Classic)</v>
      </c>
      <c r="D31" s="808"/>
      <c r="E31" s="808"/>
      <c r="F31" s="808"/>
      <c r="G31" s="808"/>
      <c r="H31" s="808"/>
      <c r="I31" s="809"/>
      <c r="J31" s="754" t="str">
        <f>IF($U$5="Custom","Y",IF($C31=HLOOKUP("Yes",ConfigDefault,14,FALSE),"Y","N"))</f>
        <v>Y</v>
      </c>
      <c r="K31" s="807" t="str">
        <f>IFERROR(IF($U$5="Custom Config",HLOOKUP("Yes",ConfigDept,37,FALSE),HLOOKUP("Yes",ConfigDefault,37,FALSE)),"")</f>
        <v>Cardiac drugs</v>
      </c>
      <c r="L31" s="808"/>
      <c r="M31" s="808"/>
      <c r="N31" s="808"/>
      <c r="O31" s="808"/>
      <c r="P31" s="808"/>
      <c r="Q31" s="809"/>
      <c r="R31" s="754" t="str">
        <f>IF($U$5="Custom","Y",IF($K31=HLOOKUP("Yes",ConfigDefault,37,FALSE),"Y","N"))</f>
        <v>Y</v>
      </c>
      <c r="S31" s="874" t="str">
        <f>IFERROR(IF($U$5="Custom Config",HLOOKUP("Yes",ConfigDept,58,FALSE),HLOOKUP("Yes",ConfigDefault,58,FALSE)),"")</f>
        <v>Operator</v>
      </c>
      <c r="T31" s="874"/>
      <c r="U31" s="874"/>
      <c r="V31" s="874"/>
      <c r="W31" s="848" t="str">
        <f>IFERROR(IF($U$5="Custom Config",HLOOKUP("Yes",ConfigDept,59,FALSE),HLOOKUP("Yes",ConfigDefault,59,FALSE)),"")</f>
        <v>Number</v>
      </c>
      <c r="X31" s="849"/>
      <c r="Y31" s="850"/>
      <c r="Z31" s="752" t="str">
        <f>IF($U$5="Custom","Y",IF($S31=HLOOKUP("Yes",ConfigDefault,58,FALSE),"Y","N"))</f>
        <v>Y</v>
      </c>
      <c r="AA31" s="3"/>
      <c r="AC31" s="324"/>
      <c r="AD31" s="865"/>
      <c r="AE31" s="865"/>
      <c r="AF31" s="865"/>
      <c r="AG31" s="865"/>
      <c r="AH31" s="865"/>
      <c r="AI31" s="325"/>
      <c r="AJ31" s="3"/>
    </row>
    <row r="32" spans="2:36" ht="13" customHeight="1" x14ac:dyDescent="0.2">
      <c r="B32" s="480"/>
      <c r="C32" s="807"/>
      <c r="D32" s="808"/>
      <c r="E32" s="808"/>
      <c r="F32" s="808"/>
      <c r="G32" s="808"/>
      <c r="H32" s="808"/>
      <c r="I32" s="809"/>
      <c r="J32" s="754"/>
      <c r="K32" s="807"/>
      <c r="L32" s="808"/>
      <c r="M32" s="808"/>
      <c r="N32" s="808"/>
      <c r="O32" s="808"/>
      <c r="P32" s="808"/>
      <c r="Q32" s="809"/>
      <c r="R32" s="754"/>
      <c r="S32" s="864"/>
      <c r="T32" s="864"/>
      <c r="U32" s="864"/>
      <c r="V32" s="864"/>
      <c r="W32" s="851"/>
      <c r="X32" s="852"/>
      <c r="Y32" s="853"/>
      <c r="Z32" s="752"/>
      <c r="AA32" s="3"/>
      <c r="AC32" s="324"/>
      <c r="AD32" s="865"/>
      <c r="AE32" s="865"/>
      <c r="AF32" s="865"/>
      <c r="AG32" s="865"/>
      <c r="AH32" s="865"/>
      <c r="AI32" s="325"/>
      <c r="AJ32" s="3"/>
    </row>
    <row r="33" spans="2:36" ht="13" customHeight="1" x14ac:dyDescent="0.2">
      <c r="B33" s="480"/>
      <c r="C33" s="807" t="str">
        <f>IFERROR(IF($U$5="Custom Config",HLOOKUP("Yes",ConfigDept,15,FALSE),HLOOKUP("Yes",ConfigDefault,15,FALSE)),"")</f>
        <v>Laryngoscope Size (Direct/CMAC)</v>
      </c>
      <c r="D33" s="808"/>
      <c r="E33" s="808"/>
      <c r="F33" s="808"/>
      <c r="G33" s="808"/>
      <c r="H33" s="808"/>
      <c r="I33" s="809"/>
      <c r="J33" s="754" t="str">
        <f>IF($U$5="Custom","Y",IF($C33=HLOOKUP("Yes",ConfigDefault,15,FALSE),"Y","N"))</f>
        <v>Y</v>
      </c>
      <c r="K33" s="807" t="str">
        <f>IFERROR(IF($U$5="Custom Config",HLOOKUP("Yes",ConfigDept,38,FALSE),HLOOKUP("Yes",ConfigDefault,38,FALSE)),"")</f>
        <v>Adenosine [all doses] (6mg/2mL)</v>
      </c>
      <c r="L33" s="808"/>
      <c r="M33" s="808"/>
      <c r="N33" s="808"/>
      <c r="O33" s="808"/>
      <c r="P33" s="808"/>
      <c r="Q33" s="809"/>
      <c r="R33" s="754" t="str">
        <f>IF($U$5="Custom","Y",IF($K33=HLOOKUP("Yes",ConfigDefault,38,FALSE),"Y","N"))</f>
        <v>Y</v>
      </c>
      <c r="S33" s="864" t="str">
        <f>IFERROR(IF($U$5="Custom Config",HLOOKUP("Yes",ConfigDept,60,FALSE),HLOOKUP("Yes",ConfigDefault,60,FALSE)),"")</f>
        <v>Blood Bank</v>
      </c>
      <c r="T33" s="864"/>
      <c r="U33" s="864"/>
      <c r="V33" s="864"/>
      <c r="W33" s="866" t="str">
        <f>IFERROR(IF($U$5="Custom Config",HLOOKUP("Yes",ConfigDept,61,FALSE),HLOOKUP("Yes",ConfigDefault,61,FALSE)),"")</f>
        <v>Number</v>
      </c>
      <c r="X33" s="866"/>
      <c r="Y33" s="866"/>
      <c r="Z33" s="752" t="str">
        <f>IF($U$5="Custom","Y",IF($S33=HLOOKUP("Yes",ConfigDefault,60,FALSE),"Y","N"))</f>
        <v>Y</v>
      </c>
      <c r="AA33" s="3"/>
      <c r="AC33" s="324"/>
      <c r="AD33" s="865"/>
      <c r="AE33" s="865"/>
      <c r="AF33" s="865"/>
      <c r="AG33" s="865"/>
      <c r="AH33" s="865"/>
      <c r="AI33" s="325"/>
      <c r="AJ33" s="3"/>
    </row>
    <row r="34" spans="2:36" ht="13" customHeight="1" x14ac:dyDescent="0.2">
      <c r="B34" s="480"/>
      <c r="C34" s="807"/>
      <c r="D34" s="808"/>
      <c r="E34" s="808"/>
      <c r="F34" s="808"/>
      <c r="G34" s="808"/>
      <c r="H34" s="808"/>
      <c r="I34" s="809"/>
      <c r="J34" s="754"/>
      <c r="K34" s="807"/>
      <c r="L34" s="808"/>
      <c r="M34" s="808"/>
      <c r="N34" s="808"/>
      <c r="O34" s="808"/>
      <c r="P34" s="808"/>
      <c r="Q34" s="809"/>
      <c r="R34" s="754"/>
      <c r="S34" s="864"/>
      <c r="T34" s="864"/>
      <c r="U34" s="864"/>
      <c r="V34" s="864"/>
      <c r="W34" s="866"/>
      <c r="X34" s="866"/>
      <c r="Y34" s="866"/>
      <c r="Z34" s="752"/>
      <c r="AA34" s="3"/>
      <c r="AC34" s="324"/>
      <c r="AD34" s="865"/>
      <c r="AE34" s="865"/>
      <c r="AF34" s="865"/>
      <c r="AG34" s="865"/>
      <c r="AH34" s="865"/>
      <c r="AI34" s="325"/>
      <c r="AJ34" s="3"/>
    </row>
    <row r="35" spans="2:36" ht="13" customHeight="1" x14ac:dyDescent="0.2">
      <c r="B35" s="480"/>
      <c r="C35" s="807" t="str">
        <f>IFERROR(IF($U$5="Custom Config",HLOOKUP("Yes",ConfigDept,16,FALSE),HLOOKUP("Yes",ConfigDefault,16,FALSE)),"")</f>
        <v>Fentanyl (100mcg/2mL)</v>
      </c>
      <c r="D35" s="808"/>
      <c r="E35" s="808"/>
      <c r="F35" s="808"/>
      <c r="G35" s="808"/>
      <c r="H35" s="808"/>
      <c r="I35" s="809"/>
      <c r="J35" s="754" t="str">
        <f>IF($U$5="Custom","Y",IF($C35=HLOOKUP("Yes",ConfigDefault,16,FALSE),"Y","N"))</f>
        <v>Y</v>
      </c>
      <c r="K35" s="807" t="str">
        <f>IFERROR(IF($U$5="Custom Config",HLOOKUP("Yes",ConfigDept,39,FALSE),HLOOKUP("Yes",ConfigDefault,39,FALSE)),"")</f>
        <v>Trauma</v>
      </c>
      <c r="L35" s="808"/>
      <c r="M35" s="808"/>
      <c r="N35" s="808"/>
      <c r="O35" s="808"/>
      <c r="P35" s="808"/>
      <c r="Q35" s="809"/>
      <c r="R35" s="754" t="str">
        <f>IF($U$5="Custom","Y",IF($K35=HLOOKUP("Yes",ConfigDefault,39,FALSE),"Y","N"))</f>
        <v>Y</v>
      </c>
      <c r="S35" s="864" t="str">
        <f>IFERROR(IF($U$5="Custom Config",HLOOKUP("Yes",ConfigDept,62,FALSE),HLOOKUP("Yes",ConfigDefault,62,FALSE)),"")</f>
        <v>Anaesthetics</v>
      </c>
      <c r="T35" s="864"/>
      <c r="U35" s="864"/>
      <c r="V35" s="864"/>
      <c r="W35" s="866" t="str">
        <f>IFERROR(IF($U$5="Custom Config",HLOOKUP("Yes",ConfigDept,63,FALSE),HLOOKUP("Yes",ConfigDefault,63,FALSE)),"")</f>
        <v>Number</v>
      </c>
      <c r="X35" s="866"/>
      <c r="Y35" s="866"/>
      <c r="Z35" s="752" t="str">
        <f>IF($U$5="Custom","Y",IF($S35=HLOOKUP("Yes",ConfigDefault,62,FALSE),"Y","N"))</f>
        <v>Y</v>
      </c>
      <c r="AA35" s="3"/>
      <c r="AC35" s="324"/>
      <c r="AD35" s="865"/>
      <c r="AE35" s="865"/>
      <c r="AF35" s="865"/>
      <c r="AG35" s="865"/>
      <c r="AH35" s="865"/>
      <c r="AI35" s="325"/>
      <c r="AJ35" s="3"/>
    </row>
    <row r="36" spans="2:36" ht="13" customHeight="1" x14ac:dyDescent="0.2">
      <c r="B36" s="480"/>
      <c r="C36" s="807"/>
      <c r="D36" s="808"/>
      <c r="E36" s="808"/>
      <c r="F36" s="808"/>
      <c r="G36" s="808"/>
      <c r="H36" s="808"/>
      <c r="I36" s="809"/>
      <c r="J36" s="754"/>
      <c r="K36" s="807"/>
      <c r="L36" s="808"/>
      <c r="M36" s="808"/>
      <c r="N36" s="808"/>
      <c r="O36" s="808"/>
      <c r="P36" s="808"/>
      <c r="Q36" s="809"/>
      <c r="R36" s="754"/>
      <c r="S36" s="864"/>
      <c r="T36" s="864"/>
      <c r="U36" s="864"/>
      <c r="V36" s="864"/>
      <c r="W36" s="866"/>
      <c r="X36" s="866"/>
      <c r="Y36" s="866"/>
      <c r="Z36" s="752"/>
      <c r="AA36" s="3"/>
      <c r="AC36" s="324"/>
      <c r="AD36" s="865"/>
      <c r="AE36" s="865"/>
      <c r="AF36" s="865"/>
      <c r="AG36" s="865"/>
      <c r="AH36" s="865"/>
      <c r="AI36" s="325"/>
      <c r="AJ36" s="3"/>
    </row>
    <row r="37" spans="2:36" ht="13" customHeight="1" x14ac:dyDescent="0.2">
      <c r="B37" s="480"/>
      <c r="C37" s="807" t="str">
        <f>IFERROR(IF($U$5="Custom Config",HLOOKUP("Yes",ConfigDept,17,FALSE),HLOOKUP("Yes",ConfigDefault,17,FALSE)),"")</f>
        <v>Ketamine Prefilled Syringe</v>
      </c>
      <c r="D37" s="808"/>
      <c r="E37" s="808"/>
      <c r="F37" s="808"/>
      <c r="G37" s="808"/>
      <c r="H37" s="808"/>
      <c r="I37" s="809"/>
      <c r="J37" s="754" t="str">
        <f>IF($U$5="Custom","Y",IF($C37=HLOOKUP("Yes",ConfigDefault,17,FALSE),"Y","N"))</f>
        <v>Y</v>
      </c>
      <c r="K37" s="807" t="str">
        <f>IFERROR(IF($U$5="Custom Config",HLOOKUP("Yes",ConfigDept,40,FALSE),HLOOKUP("Yes",ConfigDefault,40,FALSE)),"")</f>
        <v>Red Blood Cells</v>
      </c>
      <c r="L37" s="808"/>
      <c r="M37" s="808"/>
      <c r="N37" s="808"/>
      <c r="O37" s="808"/>
      <c r="P37" s="808"/>
      <c r="Q37" s="809"/>
      <c r="R37" s="754" t="str">
        <f>IF($U$5="Custom","Y",IF($K37=HLOOKUP("Yes",ConfigDefault,40,FALSE),"Y","N"))</f>
        <v>Y</v>
      </c>
      <c r="S37" s="864" t="str">
        <f>IFERROR(IF($U$5="Custom Config",HLOOKUP("Yes",ConfigDept,64,FALSE),HLOOKUP("Yes",ConfigDefault,64,FALSE)),"")</f>
        <v>ORL/ENT</v>
      </c>
      <c r="T37" s="864"/>
      <c r="U37" s="864"/>
      <c r="V37" s="864"/>
      <c r="W37" s="866" t="str">
        <f>IFERROR(IF($U$5="Custom Config",HLOOKUP("Yes",ConfigDept,65,FALSE),HLOOKUP("Yes",ConfigDefault,65,FALSE)),"")</f>
        <v>Number</v>
      </c>
      <c r="X37" s="866"/>
      <c r="Y37" s="866"/>
      <c r="Z37" s="752" t="str">
        <f>IF($U$5="Custom","Y",IF($S37=HLOOKUP("Yes",ConfigDefault,64,FALSE),"Y","N"))</f>
        <v>Y</v>
      </c>
      <c r="AA37" s="3"/>
      <c r="AC37" s="324"/>
      <c r="AD37" s="865"/>
      <c r="AE37" s="865"/>
      <c r="AF37" s="865"/>
      <c r="AG37" s="865"/>
      <c r="AH37" s="865"/>
      <c r="AI37" s="325"/>
      <c r="AJ37" s="3"/>
    </row>
    <row r="38" spans="2:36" ht="13" customHeight="1" x14ac:dyDescent="0.2">
      <c r="B38" s="480"/>
      <c r="C38" s="807"/>
      <c r="D38" s="808"/>
      <c r="E38" s="808"/>
      <c r="F38" s="808"/>
      <c r="G38" s="808"/>
      <c r="H38" s="808"/>
      <c r="I38" s="809"/>
      <c r="J38" s="754"/>
      <c r="K38" s="807"/>
      <c r="L38" s="808"/>
      <c r="M38" s="808"/>
      <c r="N38" s="808"/>
      <c r="O38" s="808"/>
      <c r="P38" s="808"/>
      <c r="Q38" s="809"/>
      <c r="R38" s="754"/>
      <c r="S38" s="864"/>
      <c r="T38" s="864"/>
      <c r="U38" s="864"/>
      <c r="V38" s="864"/>
      <c r="W38" s="866"/>
      <c r="X38" s="866"/>
      <c r="Y38" s="866"/>
      <c r="Z38" s="752"/>
      <c r="AA38" s="3"/>
      <c r="AC38" s="324"/>
      <c r="AD38" s="865"/>
      <c r="AE38" s="865"/>
      <c r="AF38" s="865"/>
      <c r="AG38" s="865"/>
      <c r="AH38" s="865"/>
      <c r="AI38" s="325"/>
      <c r="AJ38" s="3"/>
    </row>
    <row r="39" spans="2:36" ht="13" customHeight="1" x14ac:dyDescent="0.2">
      <c r="B39" s="480"/>
      <c r="C39" s="807" t="str">
        <f>IFERROR(IF($U$5="Custom Config",HLOOKUP("Yes",ConfigDept,18,FALSE),HLOOKUP("Yes",ConfigDefault,18,FALSE)),"")</f>
        <v>Propofol (200mg/20mL)</v>
      </c>
      <c r="D39" s="808"/>
      <c r="E39" s="808"/>
      <c r="F39" s="808"/>
      <c r="G39" s="808"/>
      <c r="H39" s="808"/>
      <c r="I39" s="809"/>
      <c r="J39" s="754" t="str">
        <f>IF($U$5="Custom","Y",IF($C39=HLOOKUP("Yes",ConfigDefault,18,FALSE),"Y","N"))</f>
        <v>Y</v>
      </c>
      <c r="K39" s="807" t="str">
        <f>IFERROR(IF($U$5="Custom Config",HLOOKUP("Yes",ConfigDept,41,FALSE),HLOOKUP("Yes",ConfigDefault,41,FALSE)),"")</f>
        <v>Tranexamic acid IV (500mg/5mL)</v>
      </c>
      <c r="L39" s="808"/>
      <c r="M39" s="808"/>
      <c r="N39" s="808"/>
      <c r="O39" s="808"/>
      <c r="P39" s="808"/>
      <c r="Q39" s="809"/>
      <c r="R39" s="754" t="str">
        <f>IF($U$5="Custom","Y",IF($K39=HLOOKUP("Yes",ConfigDefault,41,FALSE),"Y","N"))</f>
        <v>Y</v>
      </c>
      <c r="S39" s="864" t="str">
        <f>IFERROR(IF($U$5="Custom Config",HLOOKUP("Yes",ConfigDept,66,FALSE),HLOOKUP("Yes",ConfigDefault,66,FALSE)),"")</f>
        <v>ICU</v>
      </c>
      <c r="T39" s="864"/>
      <c r="U39" s="864"/>
      <c r="V39" s="864"/>
      <c r="W39" s="866" t="str">
        <f>IFERROR(IF($U$5="Custom Config",HLOOKUP("Yes",ConfigDept,67,FALSE),HLOOKUP("Yes",ConfigDefault,67,FALSE)),"")</f>
        <v>Number</v>
      </c>
      <c r="X39" s="866"/>
      <c r="Y39" s="866"/>
      <c r="Z39" s="752" t="str">
        <f>IF($U$5="Custom","Y",IF($S39=HLOOKUP("Yes",ConfigDefault,66,FALSE),"Y","N"))</f>
        <v>Y</v>
      </c>
      <c r="AA39" s="3"/>
      <c r="AC39" s="324"/>
      <c r="AD39" s="865"/>
      <c r="AE39" s="865"/>
      <c r="AF39" s="865"/>
      <c r="AG39" s="865"/>
      <c r="AH39" s="865"/>
      <c r="AI39" s="325"/>
      <c r="AJ39" s="3"/>
    </row>
    <row r="40" spans="2:36" ht="13" customHeight="1" x14ac:dyDescent="0.2">
      <c r="B40" s="480"/>
      <c r="C40" s="807"/>
      <c r="D40" s="808"/>
      <c r="E40" s="808"/>
      <c r="F40" s="808"/>
      <c r="G40" s="808"/>
      <c r="H40" s="808"/>
      <c r="I40" s="809"/>
      <c r="J40" s="754"/>
      <c r="K40" s="807"/>
      <c r="L40" s="808"/>
      <c r="M40" s="808"/>
      <c r="N40" s="808"/>
      <c r="O40" s="808"/>
      <c r="P40" s="808"/>
      <c r="Q40" s="809"/>
      <c r="R40" s="754"/>
      <c r="S40" s="864"/>
      <c r="T40" s="864"/>
      <c r="U40" s="864"/>
      <c r="V40" s="864"/>
      <c r="W40" s="866"/>
      <c r="X40" s="866"/>
      <c r="Y40" s="866"/>
      <c r="Z40" s="752"/>
      <c r="AA40" s="3"/>
      <c r="AC40" s="324"/>
      <c r="AD40" s="865"/>
      <c r="AE40" s="865"/>
      <c r="AF40" s="865"/>
      <c r="AG40" s="865"/>
      <c r="AH40" s="865"/>
      <c r="AI40" s="325"/>
      <c r="AJ40" s="3"/>
    </row>
    <row r="41" spans="2:36" ht="13" customHeight="1" x14ac:dyDescent="0.2">
      <c r="B41" s="480"/>
      <c r="C41" s="807" t="str">
        <f>IFERROR(IF($U$5="Custom Config",HLOOKUP("Yes",ConfigDept,19,FALSE),HLOOKUP("Yes",ConfigDefault,19,FALSE)),"")</f>
        <v>Rocuronium (50mg/5mL)</v>
      </c>
      <c r="D41" s="808"/>
      <c r="E41" s="808"/>
      <c r="F41" s="808"/>
      <c r="G41" s="808"/>
      <c r="H41" s="808"/>
      <c r="I41" s="809"/>
      <c r="J41" s="754" t="str">
        <f>IF($U$5="Custom","Y",IF($C41=HLOOKUP("Yes",ConfigDefault,19,FALSE),"Y","N"))</f>
        <v>Y</v>
      </c>
      <c r="K41" s="807" t="str">
        <f>IFERROR(IF($U$5="Custom Config",HLOOKUP("Yes",ConfigDept,42,FALSE),HLOOKUP("Yes",ConfigDefault,42,FALSE)),"")</f>
        <v>3% Saline</v>
      </c>
      <c r="L41" s="808"/>
      <c r="M41" s="808"/>
      <c r="N41" s="808"/>
      <c r="O41" s="808"/>
      <c r="P41" s="808"/>
      <c r="Q41" s="809"/>
      <c r="R41" s="754" t="str">
        <f>IF($U$5="Custom","Y",IF($K41=HLOOKUP("Yes",ConfigDefault,42,FALSE),"Y","N"))</f>
        <v>Y</v>
      </c>
      <c r="S41" s="864" t="str">
        <f>IFERROR(IF($U$5="Custom Config",HLOOKUP("Yes",ConfigDept,68,FALSE),HLOOKUP("Yes",ConfigDefault,68,FALSE)),"")</f>
        <v>NICU</v>
      </c>
      <c r="T41" s="864"/>
      <c r="U41" s="864"/>
      <c r="V41" s="864"/>
      <c r="W41" s="866" t="str">
        <f>IFERROR(IF($U$5="Custom Config",HLOOKUP("Yes",ConfigDept,69,FALSE),HLOOKUP("Yes",ConfigDefault,69,FALSE)),"")</f>
        <v>Number</v>
      </c>
      <c r="X41" s="866"/>
      <c r="Y41" s="866"/>
      <c r="Z41" s="752" t="str">
        <f>IF($U$5="Custom","Y",IF($S41=HLOOKUP("Yes",ConfigDefault,68,FALSE),"Y","N"))</f>
        <v>Y</v>
      </c>
      <c r="AA41" s="3"/>
      <c r="AC41" s="324"/>
      <c r="AD41" s="865"/>
      <c r="AE41" s="865"/>
      <c r="AF41" s="865"/>
      <c r="AG41" s="865"/>
      <c r="AH41" s="865"/>
      <c r="AI41" s="325"/>
      <c r="AJ41" s="3"/>
    </row>
    <row r="42" spans="2:36" ht="13" customHeight="1" x14ac:dyDescent="0.2">
      <c r="B42" s="480"/>
      <c r="C42" s="807"/>
      <c r="D42" s="808"/>
      <c r="E42" s="808"/>
      <c r="F42" s="808"/>
      <c r="G42" s="808"/>
      <c r="H42" s="808"/>
      <c r="I42" s="809"/>
      <c r="J42" s="754"/>
      <c r="K42" s="807"/>
      <c r="L42" s="808"/>
      <c r="M42" s="808"/>
      <c r="N42" s="808"/>
      <c r="O42" s="808"/>
      <c r="P42" s="808"/>
      <c r="Q42" s="809"/>
      <c r="R42" s="754"/>
      <c r="S42" s="864"/>
      <c r="T42" s="864"/>
      <c r="U42" s="864"/>
      <c r="V42" s="864"/>
      <c r="W42" s="866"/>
      <c r="X42" s="866"/>
      <c r="Y42" s="866"/>
      <c r="Z42" s="752"/>
      <c r="AA42" s="3"/>
      <c r="AC42" s="324"/>
      <c r="AD42" s="865"/>
      <c r="AE42" s="865"/>
      <c r="AF42" s="865"/>
      <c r="AG42" s="865"/>
      <c r="AH42" s="865"/>
      <c r="AI42" s="325"/>
      <c r="AJ42" s="3"/>
    </row>
    <row r="43" spans="2:36" ht="13" customHeight="1" x14ac:dyDescent="0.2">
      <c r="B43" s="480"/>
      <c r="C43" s="807" t="str">
        <f>IFERROR(IF($U$5="Custom Config",HLOOKUP("Yes",ConfigDept,20,FALSE),HLOOKUP("Yes",ConfigDefault,20,FALSE)),"")</f>
        <v>Suxamethonium IV (100mg/2mL)</v>
      </c>
      <c r="D43" s="808"/>
      <c r="E43" s="808"/>
      <c r="F43" s="808"/>
      <c r="G43" s="808"/>
      <c r="H43" s="808"/>
      <c r="I43" s="809"/>
      <c r="J43" s="754" t="str">
        <f>IF($U$5="Custom","Y",IF($C43=HLOOKUP("Yes",ConfigDefault,20,FALSE),"Y","N"))</f>
        <v>Y</v>
      </c>
      <c r="K43" s="807" t="str">
        <f>IFERROR(IF($U$5="Custom Config",HLOOKUP("Yes",ConfigDept,43,FALSE),HLOOKUP("Yes",ConfigDefault,43,FALSE)),"")</f>
        <v>Infusions</v>
      </c>
      <c r="L43" s="808"/>
      <c r="M43" s="808"/>
      <c r="N43" s="808"/>
      <c r="O43" s="808"/>
      <c r="P43" s="808"/>
      <c r="Q43" s="809"/>
      <c r="R43" s="754" t="str">
        <f>IF($U$5="Custom","Y",IF($K43=HLOOKUP("Yes",ConfigDefault,43,FALSE),"Y","N"))</f>
        <v>Y</v>
      </c>
      <c r="S43" s="864" t="str">
        <f>IFERROR(IF($U$5="Custom Config",HLOOKUP("Yes",ConfigDept,70,FALSE),HLOOKUP("Yes",ConfigDefault,70,FALSE)),"")</f>
        <v>Paediatrics</v>
      </c>
      <c r="T43" s="864"/>
      <c r="U43" s="864"/>
      <c r="V43" s="864"/>
      <c r="W43" s="866" t="str">
        <f>IFERROR(IF($U$5="Custom Config",HLOOKUP("Yes",ConfigDept,71,FALSE),HLOOKUP("Yes",ConfigDefault,71,FALSE)),"")</f>
        <v>Number</v>
      </c>
      <c r="X43" s="866"/>
      <c r="Y43" s="866"/>
      <c r="Z43" s="752" t="str">
        <f>IF($U$5="Custom","Y",IF($S43=HLOOKUP("Yes",ConfigDefault,70,FALSE),"Y","N"))</f>
        <v>Y</v>
      </c>
      <c r="AA43" s="3"/>
      <c r="AC43" s="324"/>
      <c r="AD43" s="865"/>
      <c r="AE43" s="865"/>
      <c r="AF43" s="865"/>
      <c r="AG43" s="865"/>
      <c r="AH43" s="865"/>
      <c r="AI43" s="325"/>
      <c r="AJ43" s="3"/>
    </row>
    <row r="44" spans="2:36" ht="13" customHeight="1" x14ac:dyDescent="0.2">
      <c r="B44" s="480"/>
      <c r="C44" s="807"/>
      <c r="D44" s="808"/>
      <c r="E44" s="808"/>
      <c r="F44" s="808"/>
      <c r="G44" s="808"/>
      <c r="H44" s="808"/>
      <c r="I44" s="809"/>
      <c r="J44" s="754"/>
      <c r="K44" s="807"/>
      <c r="L44" s="808"/>
      <c r="M44" s="808"/>
      <c r="N44" s="808"/>
      <c r="O44" s="808"/>
      <c r="P44" s="808"/>
      <c r="Q44" s="809"/>
      <c r="R44" s="754"/>
      <c r="S44" s="864"/>
      <c r="T44" s="864"/>
      <c r="U44" s="864"/>
      <c r="V44" s="864"/>
      <c r="W44" s="866"/>
      <c r="X44" s="866"/>
      <c r="Y44" s="866"/>
      <c r="Z44" s="752"/>
      <c r="AA44" s="3"/>
      <c r="AC44" s="324"/>
      <c r="AD44" s="865"/>
      <c r="AE44" s="865"/>
      <c r="AF44" s="865"/>
      <c r="AG44" s="865"/>
      <c r="AH44" s="865"/>
      <c r="AI44" s="325"/>
      <c r="AJ44" s="3"/>
    </row>
    <row r="45" spans="2:36" ht="13" customHeight="1" x14ac:dyDescent="0.2">
      <c r="B45" s="480"/>
      <c r="C45" s="807" t="str">
        <f>IFERROR(IF($U$5="Custom Config",HLOOKUP("Yes",ConfigDept,21,FALSE),HLOOKUP("Yes",ConfigDefault,21,FALSE)),"")</f>
        <v>Hypotension and shock</v>
      </c>
      <c r="D45" s="808"/>
      <c r="E45" s="808"/>
      <c r="F45" s="808"/>
      <c r="G45" s="808"/>
      <c r="H45" s="808"/>
      <c r="I45" s="809"/>
      <c r="J45" s="754" t="str">
        <f>IF($U$5="Custom","Y",IF($C45=HLOOKUP("Yes",ConfigDefault,21,FALSE),"Y","N"))</f>
        <v>Y</v>
      </c>
      <c r="K45" s="807" t="str">
        <f>IFERROR(IF($U$5="Custom Config",HLOOKUP("Yes",ConfigDept,44,FALSE),HLOOKUP("Yes",ConfigDefault,44,FALSE)),"")</f>
        <v>Metaraminol (Infusion)</v>
      </c>
      <c r="L45" s="808"/>
      <c r="M45" s="808"/>
      <c r="N45" s="808"/>
      <c r="O45" s="808"/>
      <c r="P45" s="808"/>
      <c r="Q45" s="809"/>
      <c r="R45" s="754" t="str">
        <f>IF($U$5="Custom","Y",IF($K45=HLOOKUP("Yes",ConfigDefault,44,FALSE),"Y","N"))</f>
        <v>Y</v>
      </c>
      <c r="S45" s="864" t="str">
        <f>IFERROR(IF($U$5="Custom Config",HLOOKUP("Yes",ConfigDept,72,FALSE),HLOOKUP("Yes",ConfigDefault,72,FALSE)),"")</f>
        <v>ED SMO</v>
      </c>
      <c r="T45" s="864"/>
      <c r="U45" s="864"/>
      <c r="V45" s="864"/>
      <c r="W45" s="866" t="str">
        <f>IFERROR(IF($U$5="Custom Config",HLOOKUP("Yes",ConfigDept,73,FALSE),HLOOKUP("Yes",ConfigDefault,73,FALSE)),"")</f>
        <v>Number</v>
      </c>
      <c r="X45" s="866"/>
      <c r="Y45" s="866"/>
      <c r="Z45" s="752" t="str">
        <f>IF($U$5="Custom","Y",IF($S45=HLOOKUP("Yes",ConfigDefault,72,FALSE),"Y","N"))</f>
        <v>Y</v>
      </c>
      <c r="AA45" s="3"/>
      <c r="AC45" s="324"/>
      <c r="AD45" s="865"/>
      <c r="AE45" s="865"/>
      <c r="AF45" s="865"/>
      <c r="AG45" s="865"/>
      <c r="AH45" s="865"/>
      <c r="AI45" s="325"/>
      <c r="AJ45" s="3"/>
    </row>
    <row r="46" spans="2:36" ht="13" customHeight="1" x14ac:dyDescent="0.2">
      <c r="B46" s="480"/>
      <c r="C46" s="807"/>
      <c r="D46" s="808"/>
      <c r="E46" s="808"/>
      <c r="F46" s="808"/>
      <c r="G46" s="808"/>
      <c r="H46" s="808"/>
      <c r="I46" s="809"/>
      <c r="J46" s="754"/>
      <c r="K46" s="807"/>
      <c r="L46" s="808"/>
      <c r="M46" s="808"/>
      <c r="N46" s="808"/>
      <c r="O46" s="808"/>
      <c r="P46" s="808"/>
      <c r="Q46" s="809"/>
      <c r="R46" s="754"/>
      <c r="S46" s="864"/>
      <c r="T46" s="864"/>
      <c r="U46" s="864"/>
      <c r="V46" s="864"/>
      <c r="W46" s="866"/>
      <c r="X46" s="866"/>
      <c r="Y46" s="866"/>
      <c r="Z46" s="752"/>
      <c r="AA46" s="3"/>
      <c r="AC46" s="324"/>
      <c r="AD46" s="865"/>
      <c r="AE46" s="865"/>
      <c r="AF46" s="865"/>
      <c r="AG46" s="865"/>
      <c r="AH46" s="865"/>
      <c r="AI46" s="325"/>
      <c r="AJ46" s="3"/>
    </row>
    <row r="47" spans="2:36" ht="13" customHeight="1" x14ac:dyDescent="0.2">
      <c r="B47" s="480"/>
      <c r="C47" s="807" t="str">
        <f>IFERROR(IF($U$5="Custom Config",HLOOKUP("Yes",ConfigDept,22,FALSE),HLOOKUP("Yes",ConfigDefault,22,FALSE)),"")</f>
        <v>Fluid Bolus</v>
      </c>
      <c r="D47" s="808"/>
      <c r="E47" s="808"/>
      <c r="F47" s="808"/>
      <c r="G47" s="808"/>
      <c r="H47" s="808"/>
      <c r="I47" s="809"/>
      <c r="J47" s="754" t="str">
        <f>IF($U$5="Custom","Y",IF($C47=HLOOKUP("Yes",ConfigDefault,22,FALSE),"Y","N"))</f>
        <v>Y</v>
      </c>
      <c r="K47" s="807" t="str">
        <f>IFERROR(IF($U$5="Custom Config",HLOOKUP("Yes",ConfigDept,45,FALSE),HLOOKUP("Yes",ConfigDefault,45,FALSE)),"")</f>
        <v>Adrenaline/Noradrenaline (Low dose)</v>
      </c>
      <c r="L47" s="808"/>
      <c r="M47" s="808"/>
      <c r="N47" s="808"/>
      <c r="O47" s="808"/>
      <c r="P47" s="808"/>
      <c r="Q47" s="809"/>
      <c r="R47" s="754" t="str">
        <f>IF($U$5="Custom","Y",IF($K47=HLOOKUP("Yes",ConfigDefault,45,FALSE),"Y","N"))</f>
        <v>Y</v>
      </c>
      <c r="S47" s="864" t="str">
        <f>IFERROR(IF($U$5="Custom Config",HLOOKUP("Yes",ConfigDept,74,FALSE),HLOOKUP("Yes",ConfigDefault,74,FALSE)),"")</f>
        <v>Surgeon</v>
      </c>
      <c r="T47" s="864"/>
      <c r="U47" s="864"/>
      <c r="V47" s="864"/>
      <c r="W47" s="866" t="str">
        <f>IFERROR(IF($U$5="Custom Config",HLOOKUP("Yes",ConfigDept,75,FALSE),HLOOKUP("Yes",ConfigDefault,75,FALSE)),"")</f>
        <v>Number</v>
      </c>
      <c r="X47" s="866"/>
      <c r="Y47" s="866"/>
      <c r="Z47" s="752" t="str">
        <f>IF($U$5="Custom","Y",IF($S47=HLOOKUP("Yes",ConfigDefault,74,FALSE),"Y","N"))</f>
        <v>Y</v>
      </c>
      <c r="AA47" s="3"/>
      <c r="AC47" s="324"/>
      <c r="AD47" s="865"/>
      <c r="AE47" s="865"/>
      <c r="AF47" s="865"/>
      <c r="AG47" s="865"/>
      <c r="AH47" s="865"/>
      <c r="AI47" s="325"/>
      <c r="AJ47" s="3"/>
    </row>
    <row r="48" spans="2:36" ht="13" customHeight="1" x14ac:dyDescent="0.2">
      <c r="B48" s="480"/>
      <c r="C48" s="807"/>
      <c r="D48" s="808"/>
      <c r="E48" s="808"/>
      <c r="F48" s="808"/>
      <c r="G48" s="808"/>
      <c r="H48" s="808"/>
      <c r="I48" s="809"/>
      <c r="J48" s="754"/>
      <c r="K48" s="807"/>
      <c r="L48" s="808"/>
      <c r="M48" s="808"/>
      <c r="N48" s="808"/>
      <c r="O48" s="808"/>
      <c r="P48" s="808"/>
      <c r="Q48" s="809"/>
      <c r="R48" s="754"/>
      <c r="S48" s="864"/>
      <c r="T48" s="864"/>
      <c r="U48" s="864"/>
      <c r="V48" s="864"/>
      <c r="W48" s="866"/>
      <c r="X48" s="866"/>
      <c r="Y48" s="866"/>
      <c r="Z48" s="752"/>
      <c r="AA48" s="3"/>
      <c r="AC48" s="324"/>
      <c r="AD48" s="865"/>
      <c r="AE48" s="865"/>
      <c r="AF48" s="865"/>
      <c r="AG48" s="865"/>
      <c r="AH48" s="865"/>
      <c r="AI48" s="325"/>
      <c r="AJ48" s="3"/>
    </row>
    <row r="49" spans="2:36" ht="13" customHeight="1" x14ac:dyDescent="0.2">
      <c r="B49" s="480"/>
      <c r="C49" s="807" t="str">
        <f>IFERROR(IF($U$5="Custom Config",HLOOKUP("Yes",ConfigDept,23,FALSE),HLOOKUP("Yes",ConfigDefault,23,FALSE)),"")</f>
        <v>Adrenaline IV (dilute bolus)</v>
      </c>
      <c r="D49" s="808"/>
      <c r="E49" s="808"/>
      <c r="F49" s="808"/>
      <c r="G49" s="808"/>
      <c r="H49" s="808"/>
      <c r="I49" s="809"/>
      <c r="J49" s="754" t="str">
        <f>IF($U$5="Custom","Y",IF($C49=HLOOKUP("Yes",ConfigDefault,23,FALSE),"Y","N"))</f>
        <v>Y</v>
      </c>
      <c r="K49" s="807" t="str">
        <f>IFERROR(IF($U$5="Custom Config",HLOOKUP("Yes",ConfigDept,46,FALSE),HLOOKUP("Yes",ConfigDefault,46,FALSE)),"")</f>
        <v>Morphine (Infusion)</v>
      </c>
      <c r="L49" s="808"/>
      <c r="M49" s="808"/>
      <c r="N49" s="808"/>
      <c r="O49" s="808"/>
      <c r="P49" s="808"/>
      <c r="Q49" s="809"/>
      <c r="R49" s="754" t="str">
        <f>IF($U$5="Custom","Y",IF($K49=HLOOKUP("Yes",ConfigDefault,46,FALSE),"Y","N"))</f>
        <v>Y</v>
      </c>
      <c r="S49" s="864" t="str">
        <f>IFERROR(IF($U$5="Custom Config",HLOOKUP("Yes",ConfigDept,76,FALSE),HLOOKUP("Yes",ConfigDefault,76,FALSE)),"")</f>
        <v>Custom Phone 1</v>
      </c>
      <c r="T49" s="864"/>
      <c r="U49" s="864"/>
      <c r="V49" s="864"/>
      <c r="W49" s="866" t="str">
        <f>IFERROR(IF($U$5="Custom Config",HLOOKUP("Yes",ConfigDept,77,FALSE),HLOOKUP("Yes",ConfigDefault,77,FALSE)),"")</f>
        <v>Number</v>
      </c>
      <c r="X49" s="866"/>
      <c r="Y49" s="866"/>
      <c r="Z49" s="752" t="str">
        <f>IF($U$5="Custom","Y",IF($S49=HLOOKUP("Yes",ConfigDefault,76,FALSE),"Y","N"))</f>
        <v>Y</v>
      </c>
      <c r="AA49" s="3"/>
      <c r="AC49" s="324"/>
      <c r="AD49" s="865"/>
      <c r="AE49" s="865"/>
      <c r="AF49" s="865"/>
      <c r="AG49" s="865"/>
      <c r="AH49" s="865"/>
      <c r="AI49" s="325"/>
      <c r="AJ49" s="3"/>
    </row>
    <row r="50" spans="2:36" ht="13" customHeight="1" x14ac:dyDescent="0.2">
      <c r="B50" s="480"/>
      <c r="C50" s="807"/>
      <c r="D50" s="808"/>
      <c r="E50" s="808"/>
      <c r="F50" s="808"/>
      <c r="G50" s="808"/>
      <c r="H50" s="808"/>
      <c r="I50" s="809"/>
      <c r="J50" s="754"/>
      <c r="K50" s="807"/>
      <c r="L50" s="808"/>
      <c r="M50" s="808"/>
      <c r="N50" s="808"/>
      <c r="O50" s="808"/>
      <c r="P50" s="808"/>
      <c r="Q50" s="809"/>
      <c r="R50" s="754"/>
      <c r="S50" s="864"/>
      <c r="T50" s="864"/>
      <c r="U50" s="864"/>
      <c r="V50" s="864"/>
      <c r="W50" s="866"/>
      <c r="X50" s="866"/>
      <c r="Y50" s="866"/>
      <c r="Z50" s="752"/>
      <c r="AA50" s="3"/>
      <c r="AC50" s="324"/>
      <c r="AD50" s="865"/>
      <c r="AE50" s="865"/>
      <c r="AF50" s="865"/>
      <c r="AG50" s="865"/>
      <c r="AH50" s="865"/>
      <c r="AI50" s="325"/>
      <c r="AJ50" s="3"/>
    </row>
    <row r="51" spans="2:36" ht="13" customHeight="1" x14ac:dyDescent="0.2">
      <c r="B51" s="480"/>
      <c r="C51" s="807" t="str">
        <f>IFERROR(IF($U$5="Custom Config",HLOOKUP("Yes",ConfigDept,24,FALSE),HLOOKUP("Yes",ConfigDefault,24,FALSE)),"")</f>
        <v>Metaraminol (dilute bolus)</v>
      </c>
      <c r="D51" s="808"/>
      <c r="E51" s="808"/>
      <c r="F51" s="808"/>
      <c r="G51" s="808"/>
      <c r="H51" s="808"/>
      <c r="I51" s="809"/>
      <c r="J51" s="754" t="str">
        <f>IF($U$5="Custom","Y",IF($C51=HLOOKUP("Yes",ConfigDefault,24,FALSE),"Y","N"))</f>
        <v>Y</v>
      </c>
      <c r="K51" s="807" t="str">
        <f>IFERROR(IF($U$5="Custom Config",HLOOKUP("Yes",ConfigDept,47,FALSE),HLOOKUP("Yes",ConfigDefault,47,FALSE)),"")</f>
        <v>Midazolam (Infusion)</v>
      </c>
      <c r="L51" s="808"/>
      <c r="M51" s="808"/>
      <c r="N51" s="808"/>
      <c r="O51" s="808"/>
      <c r="P51" s="808"/>
      <c r="Q51" s="809"/>
      <c r="R51" s="754" t="str">
        <f>IF($U$5="Custom","Y",IF($K51=HLOOKUP("Yes",ConfigDefault,47,FALSE),"Y","N"))</f>
        <v>Y</v>
      </c>
      <c r="S51" s="864" t="str">
        <f>IFERROR(IF($U$5="Custom Config",HLOOKUP("Yes",ConfigDept,78,FALSE),HLOOKUP("Yes",ConfigDefault,78,FALSE)),"")</f>
        <v>Custom Phone 2</v>
      </c>
      <c r="T51" s="864"/>
      <c r="U51" s="864"/>
      <c r="V51" s="864"/>
      <c r="W51" s="866" t="str">
        <f>IFERROR(IF($U$5="Custom Config",HLOOKUP("Yes",ConfigDept,79,FALSE),HLOOKUP("Yes",ConfigDefault,79,FALSE)),"")</f>
        <v>Number</v>
      </c>
      <c r="X51" s="866"/>
      <c r="Y51" s="866"/>
      <c r="Z51" s="752" t="str">
        <f>IF($U$5="Custom","Y",IF($S51=HLOOKUP("Yes",ConfigDefault,78,FALSE),"Y","N"))</f>
        <v>Y</v>
      </c>
      <c r="AA51" s="3"/>
      <c r="AC51" s="324"/>
      <c r="AD51" s="865"/>
      <c r="AE51" s="865"/>
      <c r="AF51" s="865"/>
      <c r="AG51" s="865"/>
      <c r="AH51" s="865"/>
      <c r="AI51" s="325"/>
      <c r="AJ51" s="3"/>
    </row>
    <row r="52" spans="2:36" ht="13" customHeight="1" x14ac:dyDescent="0.2">
      <c r="B52" s="480"/>
      <c r="C52" s="807"/>
      <c r="D52" s="808"/>
      <c r="E52" s="808"/>
      <c r="F52" s="808"/>
      <c r="G52" s="808"/>
      <c r="H52" s="808"/>
      <c r="I52" s="809"/>
      <c r="J52" s="754"/>
      <c r="K52" s="807"/>
      <c r="L52" s="808"/>
      <c r="M52" s="808"/>
      <c r="N52" s="808"/>
      <c r="O52" s="808"/>
      <c r="P52" s="808"/>
      <c r="Q52" s="809"/>
      <c r="R52" s="754"/>
      <c r="S52" s="864"/>
      <c r="T52" s="864"/>
      <c r="U52" s="864"/>
      <c r="V52" s="864"/>
      <c r="W52" s="866"/>
      <c r="X52" s="866"/>
      <c r="Y52" s="866"/>
      <c r="Z52" s="752"/>
      <c r="AA52" s="3"/>
      <c r="AC52" s="324"/>
      <c r="AD52" s="865"/>
      <c r="AE52" s="865"/>
      <c r="AF52" s="865"/>
      <c r="AG52" s="865"/>
      <c r="AH52" s="865"/>
      <c r="AI52" s="325"/>
      <c r="AJ52" s="3"/>
    </row>
    <row r="53" spans="2:36" ht="13" customHeight="1" x14ac:dyDescent="0.2">
      <c r="B53" s="480"/>
      <c r="C53" s="807" t="str">
        <f>IFERROR(IF($U$5="Custom Config",HLOOKUP("Yes",ConfigDept,25,FALSE),HLOOKUP("Yes",ConfigDefault,25,FALSE)),"")</f>
        <v>Anaphylaxis</v>
      </c>
      <c r="D53" s="808"/>
      <c r="E53" s="808"/>
      <c r="F53" s="808"/>
      <c r="G53" s="808"/>
      <c r="H53" s="808"/>
      <c r="I53" s="809"/>
      <c r="J53" s="754" t="str">
        <f>IF($U$5="Custom","Y",IF($C53=HLOOKUP("Yes",ConfigDefault,25,FALSE),"Y","N"))</f>
        <v>Y</v>
      </c>
      <c r="K53" s="807" t="str">
        <f>IFERROR(IF($U$5="Custom Config",HLOOKUP("Yes",ConfigDept,48,FALSE),HLOOKUP("Yes",ConfigDefault,48,FALSE)),"")</f>
        <v>Salbutamol (Infusion)</v>
      </c>
      <c r="L53" s="808"/>
      <c r="M53" s="808"/>
      <c r="N53" s="808"/>
      <c r="O53" s="808"/>
      <c r="P53" s="808"/>
      <c r="Q53" s="809"/>
      <c r="R53" s="754" t="str">
        <f>IF($U$5="Custom","Y",IF($K53=HLOOKUP("Yes",ConfigDefault,48,FALSE),"Y","N"))</f>
        <v>Y</v>
      </c>
      <c r="S53" s="864" t="str">
        <f>IFERROR(IF($U$5="Custom Config",HLOOKUP("Yes",ConfigDept,80,FALSE),HLOOKUP("Yes",ConfigDefault,80,FALSE)),"")</f>
        <v>Custom Phone 3</v>
      </c>
      <c r="T53" s="864"/>
      <c r="U53" s="864"/>
      <c r="V53" s="864"/>
      <c r="W53" s="866" t="str">
        <f>IFERROR(IF($U$5="Custom Config",HLOOKUP("Yes",ConfigDept,81,FALSE),HLOOKUP("Yes",ConfigDefault,81,FALSE)),"")</f>
        <v>Number</v>
      </c>
      <c r="X53" s="866"/>
      <c r="Y53" s="866"/>
      <c r="Z53" s="752" t="str">
        <f>IF($U$5="Custom","Y",IF($S53=HLOOKUP("Yes",ConfigDefault,80,FALSE),"Y","N"))</f>
        <v>Y</v>
      </c>
      <c r="AA53" s="3"/>
      <c r="AC53" s="324"/>
      <c r="AD53" s="865"/>
      <c r="AE53" s="865"/>
      <c r="AF53" s="865"/>
      <c r="AG53" s="865"/>
      <c r="AH53" s="865"/>
      <c r="AI53" s="325"/>
      <c r="AJ53" s="3"/>
    </row>
    <row r="54" spans="2:36" ht="13" customHeight="1" x14ac:dyDescent="0.2">
      <c r="B54" s="480"/>
      <c r="C54" s="807"/>
      <c r="D54" s="808"/>
      <c r="E54" s="808"/>
      <c r="F54" s="808"/>
      <c r="G54" s="808"/>
      <c r="H54" s="808"/>
      <c r="I54" s="809"/>
      <c r="J54" s="754"/>
      <c r="K54" s="807"/>
      <c r="L54" s="808"/>
      <c r="M54" s="808"/>
      <c r="N54" s="808"/>
      <c r="O54" s="808"/>
      <c r="P54" s="808"/>
      <c r="Q54" s="809"/>
      <c r="R54" s="754"/>
      <c r="S54" s="864"/>
      <c r="T54" s="864"/>
      <c r="U54" s="864"/>
      <c r="V54" s="864"/>
      <c r="W54" s="866"/>
      <c r="X54" s="866"/>
      <c r="Y54" s="866"/>
      <c r="Z54" s="752"/>
      <c r="AA54" s="3"/>
      <c r="AC54" s="324"/>
      <c r="AD54" s="865"/>
      <c r="AE54" s="865"/>
      <c r="AF54" s="865"/>
      <c r="AG54" s="865"/>
      <c r="AH54" s="865"/>
      <c r="AI54" s="325"/>
      <c r="AJ54" s="3"/>
    </row>
    <row r="55" spans="2:36" ht="13" customHeight="1" x14ac:dyDescent="0.2">
      <c r="B55" s="480"/>
      <c r="C55" s="807" t="str">
        <f>IFERROR(IF($U$5="Custom Config",HLOOKUP("Yes",ConfigDept,26,FALSE),HLOOKUP("Yes",ConfigDefault,26,FALSE)),"")</f>
        <v>Adrenaline IM (for anaphylaxis)</v>
      </c>
      <c r="D55" s="808"/>
      <c r="E55" s="808"/>
      <c r="F55" s="808"/>
      <c r="G55" s="808"/>
      <c r="H55" s="808"/>
      <c r="I55" s="809"/>
      <c r="J55" s="754" t="str">
        <f>IF($U$5="Custom","Y",IF($C55=HLOOKUP("Yes",ConfigDefault,26,FALSE),"Y","N"))</f>
        <v>Y</v>
      </c>
      <c r="K55" s="807" t="str">
        <f>IFERROR(IF($U$5="Custom Config",HLOOKUP("Yes",ConfigDept,49,FALSE),HLOOKUP("Yes",ConfigDefault,49,FALSE)),"")</f>
        <v>Aminophylline (Infusion)</v>
      </c>
      <c r="L55" s="808"/>
      <c r="M55" s="808"/>
      <c r="N55" s="808"/>
      <c r="O55" s="808"/>
      <c r="P55" s="808"/>
      <c r="Q55" s="809"/>
      <c r="R55" s="754" t="str">
        <f>IF($U$5="Custom","Y",IF($K55=HLOOKUP("Yes",ConfigDefault,49,FALSE),"Y","N"))</f>
        <v>Y</v>
      </c>
      <c r="S55" s="864" t="str">
        <f>IFERROR(IF($U$5="Custom Config",HLOOKUP("Yes",ConfigDept,82,FALSE),HLOOKUP("Yes",ConfigDefault,82,FALSE)),"")</f>
        <v>Custom Phone 4</v>
      </c>
      <c r="T55" s="864"/>
      <c r="U55" s="864"/>
      <c r="V55" s="864"/>
      <c r="W55" s="866" t="str">
        <f>IFERROR(IF($U$5="Custom Config",HLOOKUP("Yes",ConfigDept,83,FALSE),HLOOKUP("Yes",ConfigDefault,83,FALSE)),"")</f>
        <v>Number</v>
      </c>
      <c r="X55" s="866"/>
      <c r="Y55" s="866"/>
      <c r="Z55" s="752" t="str">
        <f>IF($U$5="Custom","Y",IF($S55=HLOOKUP("Yes",ConfigDefault,82,FALSE),"Y","N"))</f>
        <v>Y</v>
      </c>
      <c r="AA55" s="3"/>
      <c r="AC55" s="324"/>
      <c r="AD55" s="865"/>
      <c r="AE55" s="865"/>
      <c r="AF55" s="865"/>
      <c r="AG55" s="865"/>
      <c r="AH55" s="865"/>
      <c r="AI55" s="325"/>
      <c r="AJ55" s="3"/>
    </row>
    <row r="56" spans="2:36" ht="13" customHeight="1" x14ac:dyDescent="0.2">
      <c r="B56" s="480"/>
      <c r="C56" s="807"/>
      <c r="D56" s="808"/>
      <c r="E56" s="808"/>
      <c r="F56" s="808"/>
      <c r="G56" s="808"/>
      <c r="H56" s="808"/>
      <c r="I56" s="809"/>
      <c r="J56" s="754"/>
      <c r="K56" s="807"/>
      <c r="L56" s="808"/>
      <c r="M56" s="808"/>
      <c r="N56" s="808"/>
      <c r="O56" s="808"/>
      <c r="P56" s="808"/>
      <c r="Q56" s="809"/>
      <c r="R56" s="754"/>
      <c r="S56" s="864"/>
      <c r="T56" s="864"/>
      <c r="U56" s="864"/>
      <c r="V56" s="864"/>
      <c r="W56" s="866"/>
      <c r="X56" s="866"/>
      <c r="Y56" s="866"/>
      <c r="Z56" s="752"/>
      <c r="AA56" s="3"/>
      <c r="AC56" s="324"/>
      <c r="AD56" s="865"/>
      <c r="AE56" s="865"/>
      <c r="AF56" s="865"/>
      <c r="AG56" s="865"/>
      <c r="AH56" s="865"/>
      <c r="AI56" s="325"/>
      <c r="AJ56" s="3"/>
    </row>
    <row r="57" spans="2:36" ht="13" customHeight="1" x14ac:dyDescent="0.2">
      <c r="B57" s="480"/>
      <c r="C57" s="491"/>
      <c r="D57" s="491"/>
      <c r="E57" s="491"/>
      <c r="F57" s="491"/>
      <c r="G57" s="491"/>
      <c r="H57" s="491"/>
      <c r="I57" s="491"/>
      <c r="J57" s="489"/>
      <c r="K57" s="491"/>
      <c r="L57" s="491"/>
      <c r="M57" s="491"/>
      <c r="N57" s="491"/>
      <c r="O57" s="491"/>
      <c r="P57" s="491"/>
      <c r="Q57" s="491"/>
      <c r="R57" s="487"/>
      <c r="S57" s="492"/>
      <c r="T57" s="492"/>
      <c r="U57" s="492"/>
      <c r="V57" s="492"/>
      <c r="W57" s="492"/>
      <c r="X57" s="492"/>
      <c r="Y57" s="492"/>
      <c r="Z57" s="490"/>
      <c r="AA57" s="3"/>
      <c r="AC57" s="324"/>
      <c r="AD57" s="865"/>
      <c r="AE57" s="865"/>
      <c r="AF57" s="865"/>
      <c r="AG57" s="865"/>
      <c r="AH57" s="865"/>
      <c r="AI57" s="325"/>
      <c r="AJ57" s="3"/>
    </row>
    <row r="58" spans="2:36" ht="13" customHeight="1" x14ac:dyDescent="0.2">
      <c r="B58" s="480"/>
      <c r="C58" s="484"/>
      <c r="D58" s="484"/>
      <c r="E58" s="484"/>
      <c r="F58" s="484"/>
      <c r="G58" s="484"/>
      <c r="H58" s="484"/>
      <c r="I58" s="484"/>
      <c r="J58" s="489"/>
      <c r="K58" s="484"/>
      <c r="L58" s="484"/>
      <c r="M58" s="484"/>
      <c r="N58" s="484"/>
      <c r="O58" s="484"/>
      <c r="P58" s="484"/>
      <c r="Q58" s="484"/>
      <c r="R58" s="487"/>
      <c r="S58" s="492"/>
      <c r="T58" s="492"/>
      <c r="U58" s="492"/>
      <c r="V58" s="492"/>
      <c r="W58" s="492"/>
      <c r="X58" s="492"/>
      <c r="Y58" s="492"/>
      <c r="Z58" s="490"/>
      <c r="AA58" s="3"/>
      <c r="AC58" s="324"/>
      <c r="AD58" s="865"/>
      <c r="AE58" s="865"/>
      <c r="AF58" s="865"/>
      <c r="AG58" s="865"/>
      <c r="AH58" s="865"/>
      <c r="AI58" s="325"/>
      <c r="AJ58" s="3"/>
    </row>
    <row r="59" spans="2:36" ht="30" customHeight="1" x14ac:dyDescent="0.2">
      <c r="B59" s="480"/>
      <c r="C59" s="810" t="s">
        <v>798</v>
      </c>
      <c r="D59" s="811"/>
      <c r="E59" s="811"/>
      <c r="F59" s="811"/>
      <c r="G59" s="811"/>
      <c r="H59" s="811"/>
      <c r="I59" s="811"/>
      <c r="J59" s="811"/>
      <c r="K59" s="811"/>
      <c r="L59" s="811"/>
      <c r="M59" s="811"/>
      <c r="N59" s="811"/>
      <c r="O59" s="811"/>
      <c r="P59" s="811"/>
      <c r="Q59" s="811"/>
      <c r="R59" s="811"/>
      <c r="S59" s="811"/>
      <c r="T59" s="811"/>
      <c r="U59" s="811"/>
      <c r="V59" s="811"/>
      <c r="W59" s="811"/>
      <c r="X59" s="811"/>
      <c r="Y59" s="812"/>
      <c r="Z59" s="490"/>
      <c r="AA59" s="3"/>
      <c r="AC59" s="324"/>
      <c r="AD59" s="865"/>
      <c r="AE59" s="865"/>
      <c r="AF59" s="865"/>
      <c r="AG59" s="865"/>
      <c r="AH59" s="865"/>
      <c r="AI59" s="325"/>
      <c r="AJ59" s="3"/>
    </row>
    <row r="60" spans="2:36" ht="6" customHeight="1" x14ac:dyDescent="0.2">
      <c r="B60" s="480"/>
      <c r="C60" s="813"/>
      <c r="D60" s="814"/>
      <c r="E60" s="814"/>
      <c r="F60" s="814"/>
      <c r="G60" s="814"/>
      <c r="H60" s="814"/>
      <c r="I60" s="814"/>
      <c r="J60" s="814"/>
      <c r="K60" s="814"/>
      <c r="L60" s="814"/>
      <c r="M60" s="814"/>
      <c r="N60" s="814"/>
      <c r="O60" s="814"/>
      <c r="P60" s="814"/>
      <c r="Q60" s="814"/>
      <c r="R60" s="814"/>
      <c r="S60" s="814"/>
      <c r="T60" s="814"/>
      <c r="U60" s="814"/>
      <c r="V60" s="814"/>
      <c r="W60" s="814"/>
      <c r="X60" s="814"/>
      <c r="Y60" s="815"/>
      <c r="Z60" s="490"/>
      <c r="AA60" s="3"/>
      <c r="AC60" s="324"/>
      <c r="AD60" s="865"/>
      <c r="AE60" s="865"/>
      <c r="AF60" s="865"/>
      <c r="AG60" s="865"/>
      <c r="AH60" s="865"/>
      <c r="AI60" s="325"/>
      <c r="AJ60" s="3"/>
    </row>
    <row r="61" spans="2:36" ht="13" customHeight="1" x14ac:dyDescent="0.2">
      <c r="B61" s="480"/>
      <c r="C61" s="840" t="s">
        <v>603</v>
      </c>
      <c r="D61" s="840"/>
      <c r="E61" s="840"/>
      <c r="F61" s="840"/>
      <c r="G61" s="840"/>
      <c r="H61" s="842" t="str">
        <f>IFERROR(IF($U$5="Custom Config",HLOOKUP("Yes",ConfigDept,84,FALSE),HLOOKUP("Yes",ConfigDefault,84,FALSE)),"On")</f>
        <v>On</v>
      </c>
      <c r="I61" s="843"/>
      <c r="J61" s="677"/>
      <c r="K61" s="798" t="s">
        <v>605</v>
      </c>
      <c r="L61" s="799"/>
      <c r="M61" s="799"/>
      <c r="N61" s="799"/>
      <c r="O61" s="800"/>
      <c r="P61" s="794" t="str">
        <f>IFERROR(IF($U$5="Custom Config",HLOOKUP("Yes",ConfigDept,86,FALSE),HLOOKUP("Yes",ConfigDefault,86,FALSE)),"On")</f>
        <v>On</v>
      </c>
      <c r="Q61" s="795"/>
      <c r="R61" s="679"/>
      <c r="S61" s="816" t="s">
        <v>799</v>
      </c>
      <c r="T61" s="817"/>
      <c r="U61" s="817"/>
      <c r="V61" s="817"/>
      <c r="W61" s="818"/>
      <c r="X61" s="857" t="str">
        <f>IFERROR(IF($U$5="Custom Config",HLOOKUP("Yes",ConfigDept,88,FALSE),HLOOKUP("Yes",ConfigDefault,88,FALSE)),"On")</f>
        <v>On</v>
      </c>
      <c r="Y61" s="858"/>
      <c r="Z61" s="490"/>
      <c r="AA61" s="3"/>
      <c r="AC61" s="324"/>
      <c r="AD61" s="865"/>
      <c r="AE61" s="865"/>
      <c r="AF61" s="865"/>
      <c r="AG61" s="865"/>
      <c r="AH61" s="865"/>
      <c r="AI61" s="325"/>
      <c r="AJ61" s="3"/>
    </row>
    <row r="62" spans="2:36" ht="13" customHeight="1" x14ac:dyDescent="0.2">
      <c r="B62" s="480"/>
      <c r="C62" s="841"/>
      <c r="D62" s="841"/>
      <c r="E62" s="841"/>
      <c r="F62" s="841"/>
      <c r="G62" s="841"/>
      <c r="H62" s="844"/>
      <c r="I62" s="845"/>
      <c r="J62" s="677"/>
      <c r="K62" s="801"/>
      <c r="L62" s="802"/>
      <c r="M62" s="802"/>
      <c r="N62" s="802"/>
      <c r="O62" s="803"/>
      <c r="P62" s="846"/>
      <c r="Q62" s="847"/>
      <c r="R62" s="679"/>
      <c r="S62" s="854"/>
      <c r="T62" s="855"/>
      <c r="U62" s="855"/>
      <c r="V62" s="855"/>
      <c r="W62" s="856"/>
      <c r="X62" s="859"/>
      <c r="Y62" s="860"/>
      <c r="Z62" s="482"/>
      <c r="AA62" s="3"/>
      <c r="AC62" s="324"/>
      <c r="AD62" s="865"/>
      <c r="AE62" s="865"/>
      <c r="AF62" s="865"/>
      <c r="AG62" s="865"/>
      <c r="AH62" s="865"/>
      <c r="AI62" s="325"/>
      <c r="AJ62" s="3"/>
    </row>
    <row r="63" spans="2:36" ht="13" customHeight="1" x14ac:dyDescent="0.2">
      <c r="B63" s="480"/>
      <c r="C63" s="798" t="s">
        <v>604</v>
      </c>
      <c r="D63" s="799"/>
      <c r="E63" s="799"/>
      <c r="F63" s="799"/>
      <c r="G63" s="800"/>
      <c r="H63" s="794" t="str">
        <f>IFERROR(IF($U$5="Custom Config",HLOOKUP("Yes",ConfigDept,85,FALSE),HLOOKUP("Yes",ConfigDefault,85,FALSE)),"On")</f>
        <v>On</v>
      </c>
      <c r="I63" s="795"/>
      <c r="J63" s="678"/>
      <c r="K63" s="798" t="s">
        <v>609</v>
      </c>
      <c r="L63" s="799"/>
      <c r="M63" s="799"/>
      <c r="N63" s="799"/>
      <c r="O63" s="800"/>
      <c r="P63" s="794" t="str">
        <f>IFERROR(IF($U$5="Custom Config",HLOOKUP("Yes",ConfigDept,87,FALSE),HLOOKUP("Yes",ConfigDefault,87,FALSE)),"On")</f>
        <v>Off</v>
      </c>
      <c r="Q63" s="795"/>
      <c r="R63" s="679"/>
      <c r="S63" s="816" t="s">
        <v>803</v>
      </c>
      <c r="T63" s="817"/>
      <c r="U63" s="817"/>
      <c r="V63" s="817"/>
      <c r="W63" s="818"/>
      <c r="X63" s="822" t="s">
        <v>119</v>
      </c>
      <c r="Y63" s="823"/>
      <c r="Z63" s="482"/>
      <c r="AA63" s="3"/>
      <c r="AC63" s="324"/>
      <c r="AD63" s="865"/>
      <c r="AE63" s="865"/>
      <c r="AF63" s="865"/>
      <c r="AG63" s="865"/>
      <c r="AH63" s="865"/>
      <c r="AI63" s="325"/>
      <c r="AJ63" s="3"/>
    </row>
    <row r="64" spans="2:36" ht="13" customHeight="1" thickBot="1" x14ac:dyDescent="0.25">
      <c r="B64" s="480"/>
      <c r="C64" s="804"/>
      <c r="D64" s="805"/>
      <c r="E64" s="805"/>
      <c r="F64" s="805"/>
      <c r="G64" s="806"/>
      <c r="H64" s="796"/>
      <c r="I64" s="797"/>
      <c r="J64" s="680"/>
      <c r="K64" s="804"/>
      <c r="L64" s="805"/>
      <c r="M64" s="805"/>
      <c r="N64" s="805"/>
      <c r="O64" s="806"/>
      <c r="P64" s="796"/>
      <c r="Q64" s="797"/>
      <c r="R64" s="681"/>
      <c r="S64" s="819"/>
      <c r="T64" s="820"/>
      <c r="U64" s="820"/>
      <c r="V64" s="820"/>
      <c r="W64" s="821"/>
      <c r="X64" s="824"/>
      <c r="Y64" s="825"/>
      <c r="Z64" s="482"/>
      <c r="AA64" s="3"/>
      <c r="AC64" s="324"/>
      <c r="AD64" s="865"/>
      <c r="AE64" s="865"/>
      <c r="AF64" s="865"/>
      <c r="AG64" s="865"/>
      <c r="AH64" s="865"/>
      <c r="AI64" s="325"/>
      <c r="AJ64" s="3"/>
    </row>
    <row r="65" spans="2:36" ht="15" customHeight="1" x14ac:dyDescent="0.2">
      <c r="B65" s="480"/>
      <c r="C65" s="837"/>
      <c r="D65" s="838"/>
      <c r="E65" s="838"/>
      <c r="F65" s="838"/>
      <c r="G65" s="838"/>
      <c r="H65" s="838"/>
      <c r="I65" s="838"/>
      <c r="J65" s="838"/>
      <c r="K65" s="838"/>
      <c r="L65" s="838"/>
      <c r="M65" s="838"/>
      <c r="N65" s="838"/>
      <c r="O65" s="838"/>
      <c r="P65" s="838"/>
      <c r="Q65" s="838"/>
      <c r="R65" s="838"/>
      <c r="S65" s="838"/>
      <c r="T65" s="838"/>
      <c r="U65" s="838"/>
      <c r="V65" s="838"/>
      <c r="W65" s="838"/>
      <c r="X65" s="838"/>
      <c r="Y65" s="839"/>
      <c r="Z65" s="482"/>
      <c r="AA65" s="3"/>
      <c r="AC65" s="324"/>
      <c r="AD65" s="865"/>
      <c r="AE65" s="865"/>
      <c r="AF65" s="865"/>
      <c r="AG65" s="865"/>
      <c r="AH65" s="865"/>
      <c r="AI65" s="325"/>
      <c r="AJ65" s="3"/>
    </row>
    <row r="66" spans="2:36" ht="13" customHeight="1" x14ac:dyDescent="0.2">
      <c r="B66" s="480"/>
      <c r="C66" s="484"/>
      <c r="D66" s="484"/>
      <c r="E66" s="484"/>
      <c r="F66" s="484"/>
      <c r="G66" s="484"/>
      <c r="H66" s="484"/>
      <c r="I66" s="484"/>
      <c r="J66" s="489"/>
      <c r="K66" s="484"/>
      <c r="L66" s="484"/>
      <c r="M66" s="484"/>
      <c r="N66" s="484"/>
      <c r="O66" s="484"/>
      <c r="P66" s="484"/>
      <c r="Q66" s="484"/>
      <c r="R66" s="487"/>
      <c r="S66" s="492"/>
      <c r="T66" s="492"/>
      <c r="U66" s="492"/>
      <c r="V66" s="492"/>
      <c r="W66" s="492"/>
      <c r="X66" s="492"/>
      <c r="Y66" s="492"/>
      <c r="Z66" s="482"/>
      <c r="AA66" s="3"/>
      <c r="AC66" s="324"/>
      <c r="AD66" s="865"/>
      <c r="AE66" s="865"/>
      <c r="AF66" s="865"/>
      <c r="AG66" s="865"/>
      <c r="AH66" s="865"/>
      <c r="AI66" s="325"/>
      <c r="AJ66" s="3"/>
    </row>
    <row r="67" spans="2:36" ht="12" customHeight="1" thickBot="1" x14ac:dyDescent="0.25">
      <c r="B67" s="493"/>
      <c r="C67" s="494"/>
      <c r="D67" s="494"/>
      <c r="E67" s="494"/>
      <c r="F67" s="494"/>
      <c r="G67" s="494"/>
      <c r="H67" s="494"/>
      <c r="I67" s="494"/>
      <c r="J67" s="495"/>
      <c r="K67" s="495"/>
      <c r="L67" s="495"/>
      <c r="M67" s="495"/>
      <c r="N67" s="495"/>
      <c r="O67" s="495"/>
      <c r="P67" s="495"/>
      <c r="Q67" s="495"/>
      <c r="R67" s="495"/>
      <c r="S67" s="495"/>
      <c r="T67" s="495"/>
      <c r="U67" s="495"/>
      <c r="V67" s="495"/>
      <c r="W67" s="495"/>
      <c r="X67" s="495"/>
      <c r="Y67" s="495"/>
      <c r="Z67" s="496"/>
      <c r="AA67" s="3"/>
      <c r="AC67" s="326"/>
      <c r="AD67" s="327"/>
      <c r="AE67" s="327"/>
      <c r="AF67" s="327"/>
      <c r="AG67" s="327"/>
      <c r="AH67" s="327"/>
      <c r="AI67" s="328"/>
      <c r="AJ67" s="3"/>
    </row>
    <row r="68" spans="2:36" ht="14" customHeight="1" x14ac:dyDescent="0.2">
      <c r="B68" s="2"/>
      <c r="C68" s="2"/>
      <c r="D68" s="2"/>
      <c r="E68" s="2"/>
      <c r="F68" s="2"/>
      <c r="G68" s="2"/>
      <c r="H68" s="2"/>
      <c r="I68" s="2"/>
      <c r="J68" s="2"/>
      <c r="K68" s="2"/>
      <c r="L68" s="2"/>
      <c r="M68" s="2"/>
      <c r="N68" s="2"/>
      <c r="O68" s="2"/>
      <c r="P68" s="2"/>
      <c r="Q68" s="2"/>
      <c r="R68" s="2"/>
      <c r="S68" s="2"/>
      <c r="T68" s="2"/>
      <c r="U68" s="2"/>
      <c r="V68" s="2"/>
      <c r="W68" s="2"/>
      <c r="X68" s="2"/>
      <c r="Y68" s="2"/>
      <c r="Z68" s="2"/>
      <c r="AA68" s="8"/>
      <c r="AC68" s="2"/>
      <c r="AD68" s="2"/>
      <c r="AE68" s="2"/>
      <c r="AF68" s="2"/>
      <c r="AG68" s="2"/>
      <c r="AH68" s="2"/>
      <c r="AI68" s="2"/>
      <c r="AJ68" s="8"/>
    </row>
    <row r="69" spans="2:36" ht="12" customHeight="1" x14ac:dyDescent="0.2"/>
    <row r="70" spans="2:36" ht="12" customHeight="1" x14ac:dyDescent="0.2"/>
    <row r="71" spans="2:36" ht="12" customHeight="1" x14ac:dyDescent="0.2"/>
  </sheetData>
  <sheetProtection algorithmName="SHA-512" hashValue="qAeH/yVGxnIN5LGbbl5mA6X6Ni1l9xMvu8/DMO9rPSrGtXdShYu0AjhyXzY30sTRwu9W/FyPi9X+8wfXvsPFdg==" saltValue="Y7SsZpAMwBopoF4xe1UI1w==" spinCount="100000" sheet="1" objects="1" scenarios="1" selectLockedCells="1"/>
  <mergeCells count="188">
    <mergeCell ref="AD4:AH66"/>
    <mergeCell ref="W53:Y54"/>
    <mergeCell ref="W55:Y56"/>
    <mergeCell ref="AD3:AH3"/>
    <mergeCell ref="W43:Y44"/>
    <mergeCell ref="W45:Y46"/>
    <mergeCell ref="W47:Y48"/>
    <mergeCell ref="W49:Y50"/>
    <mergeCell ref="W51:Y52"/>
    <mergeCell ref="W33:Y34"/>
    <mergeCell ref="W35:Y36"/>
    <mergeCell ref="W37:Y38"/>
    <mergeCell ref="W39:Y40"/>
    <mergeCell ref="W41:Y42"/>
    <mergeCell ref="S29:Y30"/>
    <mergeCell ref="S33:V34"/>
    <mergeCell ref="S35:V36"/>
    <mergeCell ref="S37:V38"/>
    <mergeCell ref="S39:V40"/>
    <mergeCell ref="S41:V42"/>
    <mergeCell ref="S51:V52"/>
    <mergeCell ref="S53:V54"/>
    <mergeCell ref="S55:V56"/>
    <mergeCell ref="S31:V32"/>
    <mergeCell ref="W31:Y32"/>
    <mergeCell ref="S61:W62"/>
    <mergeCell ref="X61:Y62"/>
    <mergeCell ref="S11:Y12"/>
    <mergeCell ref="S13:Y14"/>
    <mergeCell ref="S15:Y16"/>
    <mergeCell ref="S17:Y18"/>
    <mergeCell ref="S19:Y20"/>
    <mergeCell ref="S43:V44"/>
    <mergeCell ref="S45:V46"/>
    <mergeCell ref="S47:V48"/>
    <mergeCell ref="S49:V50"/>
    <mergeCell ref="C31:I32"/>
    <mergeCell ref="C33:I34"/>
    <mergeCell ref="C37:I38"/>
    <mergeCell ref="C35:I36"/>
    <mergeCell ref="C29:I30"/>
    <mergeCell ref="C25:I26"/>
    <mergeCell ref="C23:I24"/>
    <mergeCell ref="C27:I28"/>
    <mergeCell ref="K21:Q22"/>
    <mergeCell ref="K35:Q36"/>
    <mergeCell ref="C21:I22"/>
    <mergeCell ref="K23:Q24"/>
    <mergeCell ref="K25:Q26"/>
    <mergeCell ref="K27:Q28"/>
    <mergeCell ref="K29:Q30"/>
    <mergeCell ref="J33:J34"/>
    <mergeCell ref="J35:J36"/>
    <mergeCell ref="J37:J38"/>
    <mergeCell ref="C65:Y65"/>
    <mergeCell ref="C43:I44"/>
    <mergeCell ref="C39:I40"/>
    <mergeCell ref="C45:I46"/>
    <mergeCell ref="C41:I42"/>
    <mergeCell ref="K37:Q38"/>
    <mergeCell ref="K39:Q40"/>
    <mergeCell ref="K41:Q42"/>
    <mergeCell ref="K43:Q44"/>
    <mergeCell ref="K45:Q46"/>
    <mergeCell ref="K47:Q48"/>
    <mergeCell ref="K49:Q50"/>
    <mergeCell ref="C49:I50"/>
    <mergeCell ref="C47:I48"/>
    <mergeCell ref="C55:I56"/>
    <mergeCell ref="K53:Q54"/>
    <mergeCell ref="K55:Q56"/>
    <mergeCell ref="C51:I52"/>
    <mergeCell ref="K51:Q52"/>
    <mergeCell ref="C61:G62"/>
    <mergeCell ref="H61:I62"/>
    <mergeCell ref="H63:I64"/>
    <mergeCell ref="C63:G64"/>
    <mergeCell ref="P61:Q62"/>
    <mergeCell ref="P63:Q64"/>
    <mergeCell ref="K61:O62"/>
    <mergeCell ref="K63:O64"/>
    <mergeCell ref="C53:I54"/>
    <mergeCell ref="C59:Y59"/>
    <mergeCell ref="C60:Y60"/>
    <mergeCell ref="S63:W64"/>
    <mergeCell ref="X63:Y64"/>
    <mergeCell ref="C8:Y8"/>
    <mergeCell ref="K31:Q32"/>
    <mergeCell ref="K33:Q34"/>
    <mergeCell ref="C17:I18"/>
    <mergeCell ref="C19:I20"/>
    <mergeCell ref="C13:I14"/>
    <mergeCell ref="K11:Q12"/>
    <mergeCell ref="C11:I12"/>
    <mergeCell ref="C15:I16"/>
    <mergeCell ref="K13:Q14"/>
    <mergeCell ref="K15:Q16"/>
    <mergeCell ref="K17:Q18"/>
    <mergeCell ref="K19:Q20"/>
    <mergeCell ref="S9:Y9"/>
    <mergeCell ref="C9:G9"/>
    <mergeCell ref="K9:O9"/>
    <mergeCell ref="K10:Q10"/>
    <mergeCell ref="C10:I10"/>
    <mergeCell ref="H9:I9"/>
    <mergeCell ref="P9:Q9"/>
    <mergeCell ref="S21:Y22"/>
    <mergeCell ref="S23:Y24"/>
    <mergeCell ref="S25:Y26"/>
    <mergeCell ref="S27:Y28"/>
    <mergeCell ref="C3:F3"/>
    <mergeCell ref="G3:P3"/>
    <mergeCell ref="C7:F7"/>
    <mergeCell ref="G7:Y7"/>
    <mergeCell ref="R3:T3"/>
    <mergeCell ref="U3:Y3"/>
    <mergeCell ref="G4:P4"/>
    <mergeCell ref="C4:F4"/>
    <mergeCell ref="R4:T4"/>
    <mergeCell ref="U4:Y4"/>
    <mergeCell ref="C5:F5"/>
    <mergeCell ref="G5:P5"/>
    <mergeCell ref="R5:T5"/>
    <mergeCell ref="U5:Y5"/>
    <mergeCell ref="J11:J12"/>
    <mergeCell ref="J13:J14"/>
    <mergeCell ref="J15:J16"/>
    <mergeCell ref="J17:J18"/>
    <mergeCell ref="J19:J20"/>
    <mergeCell ref="J21:J22"/>
    <mergeCell ref="J23:J24"/>
    <mergeCell ref="J25:J26"/>
    <mergeCell ref="J27:J28"/>
    <mergeCell ref="J29:J30"/>
    <mergeCell ref="J31:J32"/>
    <mergeCell ref="J39:J40"/>
    <mergeCell ref="J41:J42"/>
    <mergeCell ref="J43:J44"/>
    <mergeCell ref="J45:J46"/>
    <mergeCell ref="J47:J48"/>
    <mergeCell ref="J49:J50"/>
    <mergeCell ref="J51:J52"/>
    <mergeCell ref="J53:J54"/>
    <mergeCell ref="J55:J56"/>
    <mergeCell ref="R11:R12"/>
    <mergeCell ref="R13:R14"/>
    <mergeCell ref="R15:R16"/>
    <mergeCell ref="R17:R18"/>
    <mergeCell ref="R19:R20"/>
    <mergeCell ref="R21:R22"/>
    <mergeCell ref="R23:R24"/>
    <mergeCell ref="R25:R26"/>
    <mergeCell ref="R27:R28"/>
    <mergeCell ref="R47:R48"/>
    <mergeCell ref="R49:R50"/>
    <mergeCell ref="R51:R52"/>
    <mergeCell ref="R53:R54"/>
    <mergeCell ref="R55:R56"/>
    <mergeCell ref="R29:R30"/>
    <mergeCell ref="R31:R32"/>
    <mergeCell ref="R33:R34"/>
    <mergeCell ref="R35:R36"/>
    <mergeCell ref="R37:R38"/>
    <mergeCell ref="R39:R40"/>
    <mergeCell ref="R41:R42"/>
    <mergeCell ref="R43:R44"/>
    <mergeCell ref="R45:R46"/>
    <mergeCell ref="Z11:Z12"/>
    <mergeCell ref="Z13:Z14"/>
    <mergeCell ref="Z15:Z16"/>
    <mergeCell ref="Z17:Z18"/>
    <mergeCell ref="Z19:Z20"/>
    <mergeCell ref="Z21:Z22"/>
    <mergeCell ref="Z23:Z24"/>
    <mergeCell ref="Z25:Z26"/>
    <mergeCell ref="Z31:Z32"/>
    <mergeCell ref="Z51:Z52"/>
    <mergeCell ref="Z53:Z54"/>
    <mergeCell ref="Z55:Z56"/>
    <mergeCell ref="Z33:Z34"/>
    <mergeCell ref="Z35:Z36"/>
    <mergeCell ref="Z37:Z38"/>
    <mergeCell ref="Z39:Z40"/>
    <mergeCell ref="Z41:Z42"/>
    <mergeCell ref="Z43:Z44"/>
    <mergeCell ref="Z45:Z46"/>
    <mergeCell ref="Z47:Z48"/>
    <mergeCell ref="Z49:Z50"/>
  </mergeCells>
  <conditionalFormatting sqref="C10:I10">
    <cfRule type="expression" dxfId="47" priority="16">
      <formula>$H$9="Off"</formula>
    </cfRule>
  </conditionalFormatting>
  <conditionalFormatting sqref="C11:I56">
    <cfRule type="expression" dxfId="46" priority="3">
      <formula>IF($J11="N",TRUE,FALSE)</formula>
    </cfRule>
    <cfRule type="expression" dxfId="45" priority="18">
      <formula>$H$9="Off"</formula>
    </cfRule>
  </conditionalFormatting>
  <conditionalFormatting sqref="C11:I58 C59 C61 H61 C63 H63 C65 C66:I66">
    <cfRule type="cellIs" dxfId="44" priority="26" operator="equal">
      <formula>0</formula>
    </cfRule>
  </conditionalFormatting>
  <conditionalFormatting sqref="C11:I58 H61 H63 C59 C61 C63 C65 C66:I66">
    <cfRule type="expression" dxfId="43" priority="36">
      <formula>C11=VLOOKUP(C11,Headings,1,FALSE)</formula>
    </cfRule>
  </conditionalFormatting>
  <conditionalFormatting sqref="G3:P3">
    <cfRule type="cellIs" dxfId="42" priority="21" operator="equal">
      <formula>0</formula>
    </cfRule>
  </conditionalFormatting>
  <conditionalFormatting sqref="G4:P4">
    <cfRule type="cellIs" dxfId="41" priority="32" operator="equal">
      <formula>"Expired"</formula>
    </cfRule>
    <cfRule type="cellIs" dxfId="40" priority="31" operator="equal">
      <formula>"Activated"</formula>
    </cfRule>
  </conditionalFormatting>
  <conditionalFormatting sqref="G7:Y7">
    <cfRule type="cellIs" dxfId="39" priority="20" operator="equal">
      <formula>0</formula>
    </cfRule>
  </conditionalFormatting>
  <conditionalFormatting sqref="H9">
    <cfRule type="cellIs" dxfId="38" priority="30" operator="equal">
      <formula>"On"</formula>
    </cfRule>
    <cfRule type="cellIs" dxfId="37" priority="29" operator="equal">
      <formula>"Off"</formula>
    </cfRule>
  </conditionalFormatting>
  <conditionalFormatting sqref="H61:I62">
    <cfRule type="containsText" dxfId="36" priority="14" operator="containsText" text="Off">
      <formula>NOT(ISERROR(SEARCH("Off",H61)))</formula>
    </cfRule>
    <cfRule type="containsText" dxfId="35" priority="15" operator="containsText" text="On">
      <formula>NOT(ISERROR(SEARCH("On",H61)))</formula>
    </cfRule>
  </conditionalFormatting>
  <conditionalFormatting sqref="H63:I64">
    <cfRule type="cellIs" dxfId="34" priority="12" operator="equal">
      <formula>"Off"</formula>
    </cfRule>
    <cfRule type="cellIs" dxfId="33" priority="13" operator="equal">
      <formula>"On"</formula>
    </cfRule>
  </conditionalFormatting>
  <conditionalFormatting sqref="K10:Q10">
    <cfRule type="expression" dxfId="32" priority="17">
      <formula>$P$9="Off"</formula>
    </cfRule>
  </conditionalFormatting>
  <conditionalFormatting sqref="K11:Q56">
    <cfRule type="expression" dxfId="31" priority="19">
      <formula>$P$9="Off"</formula>
    </cfRule>
    <cfRule type="expression" dxfId="30" priority="2">
      <formula>IF($R11="N",TRUE,FALSE)</formula>
    </cfRule>
  </conditionalFormatting>
  <conditionalFormatting sqref="K11:Q58 K61 P61 K63 P63 K66:Q66">
    <cfRule type="cellIs" dxfId="29" priority="25" operator="equal">
      <formula>0</formula>
    </cfRule>
  </conditionalFormatting>
  <conditionalFormatting sqref="K11:Q58 P61 P63 K61 K63 K66:Q66">
    <cfRule type="expression" dxfId="28" priority="35">
      <formula>K11=VLOOKUP(K11,Headings,1,FALSE)</formula>
    </cfRule>
  </conditionalFormatting>
  <conditionalFormatting sqref="P9">
    <cfRule type="cellIs" dxfId="27" priority="27" operator="equal">
      <formula>"Off"</formula>
    </cfRule>
    <cfRule type="cellIs" dxfId="26" priority="28" operator="equal">
      <formula>"On"</formula>
    </cfRule>
  </conditionalFormatting>
  <conditionalFormatting sqref="P61:Q62">
    <cfRule type="cellIs" dxfId="25" priority="11" operator="equal">
      <formula>"On"</formula>
    </cfRule>
  </conditionalFormatting>
  <conditionalFormatting sqref="P61:Q64">
    <cfRule type="cellIs" dxfId="24" priority="8" operator="equal">
      <formula>"Off"</formula>
    </cfRule>
  </conditionalFormatting>
  <conditionalFormatting sqref="P63:Q64">
    <cfRule type="cellIs" dxfId="23" priority="9" operator="equal">
      <formula>"On"</formula>
    </cfRule>
  </conditionalFormatting>
  <conditionalFormatting sqref="S11:Y26 S31:V56">
    <cfRule type="expression" dxfId="22" priority="1">
      <formula>IF($Z11="N",TRUE,FALSE)</formula>
    </cfRule>
  </conditionalFormatting>
  <conditionalFormatting sqref="S11:Y26">
    <cfRule type="cellIs" dxfId="21" priority="24" operator="equal">
      <formula>0</formula>
    </cfRule>
  </conditionalFormatting>
  <conditionalFormatting sqref="U3:Y4">
    <cfRule type="cellIs" dxfId="20" priority="22" operator="equal">
      <formula>0</formula>
    </cfRule>
  </conditionalFormatting>
  <conditionalFormatting sqref="X61:Y64">
    <cfRule type="cellIs" dxfId="19" priority="5" operator="equal">
      <formula>"On"</formula>
    </cfRule>
    <cfRule type="cellIs" dxfId="18" priority="4" operator="equal">
      <formula>"Off"</formula>
    </cfRule>
  </conditionalFormatting>
  <dataValidations count="3">
    <dataValidation type="list" allowBlank="1" showInputMessage="1" showErrorMessage="1" sqref="P9 H9" xr:uid="{22DD1609-3F83-3448-8F1F-64D3BF955F85}">
      <formula1>"On, Off"</formula1>
    </dataValidation>
    <dataValidation type="list" allowBlank="1" showInputMessage="1" showErrorMessage="1" sqref="C11:I56 K11:Q56" xr:uid="{C38D2870-0500-4A49-A92C-657EDA6FF029}">
      <formula1>DropList</formula1>
    </dataValidation>
    <dataValidation type="list" allowBlank="1" showInputMessage="1" showErrorMessage="1" sqref="H61:I64 P61:Q64 X61:Y64" xr:uid="{EB49E928-DBF0-F24F-B62A-694076349666}">
      <formula1>"On,Off"</formula1>
    </dataValidation>
  </dataValidations>
  <printOptions horizontalCentered="1" verticalCentered="1"/>
  <pageMargins left="0.39370078740157483" right="0.39370078740157483" top="0.39370078740157483" bottom="0.39370078740157483" header="0.31496062992125984" footer="0.31496062992125984"/>
  <pageSetup paperSize="9" scale="96" orientation="portrait" r:id="rId1"/>
  <headerFooter>
    <oddHeader>&amp;LDate printed: &amp;"-,Bold"&amp;D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2F639-01F8-4366-940F-5BB0DA865327}">
  <sheetPr codeName="Sheet5">
    <tabColor rgb="FFFF0000"/>
    <pageSetUpPr autoPageBreaks="0"/>
  </sheetPr>
  <dimension ref="B1:AG284"/>
  <sheetViews>
    <sheetView zoomScale="90" zoomScaleNormal="90" zoomScaleSheetLayoutView="100" workbookViewId="0">
      <pane xSplit="2" ySplit="5" topLeftCell="S6" activePane="bottomRight" state="frozen"/>
      <selection pane="topRight" activeCell="C1" sqref="C1"/>
      <selection pane="bottomLeft" activeCell="A6" sqref="A6"/>
      <selection pane="bottomRight"/>
    </sheetView>
  </sheetViews>
  <sheetFormatPr baseColWidth="10" defaultColWidth="9.1640625" defaultRowHeight="15" x14ac:dyDescent="0.2"/>
  <cols>
    <col min="1" max="1" width="8.6640625" style="54" customWidth="1"/>
    <col min="2" max="2" width="40.6640625" style="54" customWidth="1"/>
    <col min="3" max="5" width="10.83203125" style="54" customWidth="1"/>
    <col min="6" max="6" width="16" style="54" customWidth="1"/>
    <col min="7" max="7" width="23.83203125" style="54" customWidth="1"/>
    <col min="8" max="11" width="10.83203125" style="54" customWidth="1"/>
    <col min="12" max="14" width="8.6640625" style="54" customWidth="1"/>
    <col min="15" max="15" width="18.83203125" style="54" customWidth="1"/>
    <col min="16" max="18" width="8.6640625" style="54" customWidth="1"/>
    <col min="19" max="19" width="13.6640625" style="54" customWidth="1"/>
    <col min="20" max="23" width="8.6640625" style="54" customWidth="1"/>
    <col min="24" max="24" width="10.6640625" style="54" customWidth="1"/>
    <col min="25" max="25" width="8.6640625" style="54" customWidth="1"/>
    <col min="26" max="26" width="12.83203125" style="54" customWidth="1"/>
    <col min="27" max="27" width="44" style="54" customWidth="1"/>
    <col min="28" max="30" width="48.5" style="54" customWidth="1"/>
    <col min="31" max="32" width="12.83203125" style="54" customWidth="1"/>
    <col min="33" max="33" width="86.83203125" style="54" customWidth="1"/>
    <col min="34" max="38" width="12.6640625" style="54" customWidth="1"/>
    <col min="39" max="39" width="18.83203125" style="54" customWidth="1"/>
    <col min="40" max="46" width="9.1640625" style="54"/>
    <col min="47" max="47" width="24.5" style="54" customWidth="1"/>
    <col min="48" max="16384" width="9.1640625" style="54"/>
  </cols>
  <sheetData>
    <row r="1" spans="2:33" ht="20" customHeight="1" x14ac:dyDescent="0.2"/>
    <row r="2" spans="2:33" ht="50" customHeight="1" x14ac:dyDescent="0.2">
      <c r="B2" s="43" t="s">
        <v>55</v>
      </c>
      <c r="C2" s="60">
        <f>IF('Weight Estimations'!$C$2=0,'Weight Estimations'!$C$6,'Weight Estimations'!$C$2)</f>
        <v>3.5</v>
      </c>
      <c r="E2" s="247" t="s">
        <v>258</v>
      </c>
      <c r="F2" s="102" t="str">
        <f>IF(AND(Front!$E$10&lt;&gt;0,OR('Weight Estimations'!$C$4&lt;&gt;0,'Weight Estimations'!$C$3&lt;&gt;0,'Weight Estimations'!$C$5&lt;&gt;0)),"Yes","No")</f>
        <v>No</v>
      </c>
      <c r="H2" s="434" t="s">
        <v>523</v>
      </c>
      <c r="I2" s="102" t="str">
        <f>IF(OR('Weight Estimations'!E3&lt;&gt;0,'Weight Estimations'!E4&lt;&gt;0,'Weight Estimations'!E5&lt;&gt;0),"Yes","No")</f>
        <v>No</v>
      </c>
      <c r="K2" s="442" t="s">
        <v>307</v>
      </c>
      <c r="L2" s="102" t="str">
        <f>'Weight Estimations'!G36</f>
        <v>Neonate</v>
      </c>
      <c r="M2" s="448"/>
      <c r="N2" s="897" t="s">
        <v>524</v>
      </c>
      <c r="O2" s="898"/>
      <c r="P2" s="898"/>
      <c r="Q2" s="898"/>
      <c r="R2" s="898"/>
      <c r="S2" s="898"/>
      <c r="T2" s="898"/>
      <c r="U2" s="898"/>
      <c r="V2" s="899"/>
      <c r="AA2" s="251" t="str">
        <f>"// drugs will display 'not recommended at this age' if weight above or below a certain number"</f>
        <v>// drugs will display 'not recommended at this age' if weight above or below a certain number</v>
      </c>
      <c r="AB2" s="254" t="str">
        <f>"//Underlying formula is altered for reasons specific to the drug"</f>
        <v>//Underlying formula is altered for reasons specific to the drug</v>
      </c>
    </row>
    <row r="3" spans="2:33" ht="20" customHeight="1" thickBot="1" x14ac:dyDescent="0.25"/>
    <row r="4" spans="2:33" s="55" customFormat="1" ht="50" customHeight="1" thickBot="1" x14ac:dyDescent="0.25">
      <c r="B4" s="309" t="s">
        <v>405</v>
      </c>
      <c r="C4" s="907" t="s">
        <v>20</v>
      </c>
      <c r="D4" s="908"/>
      <c r="E4" s="909"/>
      <c r="F4" s="907" t="s">
        <v>9</v>
      </c>
      <c r="G4" s="909"/>
      <c r="H4" s="910" t="s">
        <v>19</v>
      </c>
      <c r="I4" s="911"/>
      <c r="J4" s="912"/>
      <c r="K4" s="916" t="s">
        <v>18</v>
      </c>
      <c r="L4" s="917"/>
      <c r="M4" s="917"/>
      <c r="N4" s="917"/>
      <c r="O4" s="918"/>
      <c r="P4" s="893" t="s">
        <v>716</v>
      </c>
      <c r="Q4" s="894"/>
      <c r="R4" s="894"/>
      <c r="S4" s="894"/>
      <c r="T4" s="895"/>
      <c r="U4" s="893" t="s">
        <v>11</v>
      </c>
      <c r="V4" s="894"/>
      <c r="W4" s="894"/>
      <c r="X4" s="894"/>
      <c r="Y4" s="894"/>
      <c r="Z4" s="877" t="s">
        <v>103</v>
      </c>
      <c r="AA4" s="878"/>
      <c r="AB4" s="878"/>
      <c r="AC4" s="878"/>
      <c r="AD4" s="878"/>
      <c r="AE4" s="875" t="s">
        <v>132</v>
      </c>
      <c r="AF4" s="876"/>
      <c r="AG4" s="42"/>
    </row>
    <row r="5" spans="2:33" s="55" customFormat="1" ht="40" customHeight="1" thickBot="1" x14ac:dyDescent="0.25">
      <c r="B5" s="44"/>
      <c r="C5" s="29" t="s">
        <v>1</v>
      </c>
      <c r="D5" s="30" t="s">
        <v>6</v>
      </c>
      <c r="E5" s="31" t="s">
        <v>5</v>
      </c>
      <c r="F5" s="914" t="s">
        <v>2</v>
      </c>
      <c r="G5" s="915"/>
      <c r="H5" s="38" t="s">
        <v>3</v>
      </c>
      <c r="I5" s="39" t="s">
        <v>12</v>
      </c>
      <c r="J5" s="40" t="s">
        <v>6</v>
      </c>
      <c r="K5" s="32" t="s">
        <v>13</v>
      </c>
      <c r="L5" s="892" t="s">
        <v>10</v>
      </c>
      <c r="M5" s="892"/>
      <c r="N5" s="892"/>
      <c r="O5" s="913"/>
      <c r="P5" s="891" t="s">
        <v>717</v>
      </c>
      <c r="Q5" s="892"/>
      <c r="R5" s="892"/>
      <c r="S5" s="896"/>
      <c r="T5" s="33" t="s">
        <v>21</v>
      </c>
      <c r="U5" s="891" t="s">
        <v>17</v>
      </c>
      <c r="V5" s="892"/>
      <c r="W5" s="892"/>
      <c r="X5" s="892"/>
      <c r="Y5" s="34" t="s">
        <v>21</v>
      </c>
      <c r="Z5" s="35" t="s">
        <v>33</v>
      </c>
      <c r="AA5" s="36" t="s">
        <v>78</v>
      </c>
      <c r="AB5" s="37" t="s">
        <v>79</v>
      </c>
      <c r="AC5" s="235" t="s">
        <v>64</v>
      </c>
      <c r="AD5" s="235" t="s">
        <v>65</v>
      </c>
      <c r="AE5" s="114" t="s">
        <v>133</v>
      </c>
      <c r="AF5" s="115"/>
      <c r="AG5" s="41" t="s">
        <v>38</v>
      </c>
    </row>
    <row r="6" spans="2:33" s="55" customFormat="1" ht="25" customHeight="1" thickBot="1" x14ac:dyDescent="0.25">
      <c r="B6" s="336" t="s">
        <v>750</v>
      </c>
      <c r="C6" s="337">
        <v>1000</v>
      </c>
      <c r="D6" s="338" t="s">
        <v>8</v>
      </c>
      <c r="E6" s="339">
        <v>10</v>
      </c>
      <c r="F6" s="340">
        <f>IFERROR(($C6/$E6),"")</f>
        <v>100</v>
      </c>
      <c r="G6" s="341" t="str">
        <f>IF($D6="","",($D6&amp;" /mL"))</f>
        <v>micrograms /mL</v>
      </c>
      <c r="H6" s="337">
        <v>0</v>
      </c>
      <c r="I6" s="10">
        <v>1000</v>
      </c>
      <c r="J6" s="339" t="str">
        <f>IF(D6="","",D6)</f>
        <v>micrograms</v>
      </c>
      <c r="K6" s="337" t="s">
        <v>15</v>
      </c>
      <c r="L6" s="342">
        <v>10</v>
      </c>
      <c r="M6" s="9" t="str">
        <f>IF(K6="Yes","to","")</f>
        <v/>
      </c>
      <c r="N6" s="343"/>
      <c r="O6" s="344" t="str">
        <f>IF($D6="","",$D6&amp;"/kg")</f>
        <v>micrograms/kg</v>
      </c>
      <c r="P6" s="340">
        <f>IFERROR(ROUND(IF($L6=0,"",IF(($L6*$C$2)&lt;$H6,$H6,IF(($L6*$C$2)&gt;$I6,$I6,($L6*$C$2)))),T6),"")</f>
        <v>35</v>
      </c>
      <c r="Q6" s="9" t="str">
        <f>$M6</f>
        <v/>
      </c>
      <c r="R6" s="343" t="str">
        <f>IFERROR(ROUND(IF($N6=0,"",IF(($N6*$C$2)&lt;$H6,$H6,IF(($N6*$C$2)&gt;$I6,$I6,($N6*$C$2)))),T6),"")</f>
        <v/>
      </c>
      <c r="S6" s="345" t="str">
        <f t="shared" ref="S6:S104" si="0">IF(D6="","",D6)</f>
        <v>micrograms</v>
      </c>
      <c r="T6" s="346">
        <v>3</v>
      </c>
      <c r="U6" s="340">
        <f>IFERROR(ROUND(($P6/$F6),Y6),"")</f>
        <v>0.35</v>
      </c>
      <c r="V6" s="9" t="str">
        <f t="shared" ref="V6:V104" si="1">M6</f>
        <v/>
      </c>
      <c r="W6" s="347" t="str">
        <f>IFERROR(ROUND(($R6/$F6),Y6),"")</f>
        <v/>
      </c>
      <c r="X6" s="343" t="str">
        <f>IF(U6="","","mL")</f>
        <v>mL</v>
      </c>
      <c r="Y6" s="10">
        <v>2</v>
      </c>
      <c r="Z6" s="348"/>
      <c r="AA6" s="317" t="str">
        <f>IF($U6="","",IF($K6="Yes",$U6&amp;" - "&amp;$W6&amp;" mL",$U6&amp;" mL"))</f>
        <v>0.35 mL</v>
      </c>
      <c r="AB6" s="317" t="s">
        <v>66</v>
      </c>
      <c r="AC6" s="9" t="str">
        <f>"10 mcg/kg = "&amp;P6&amp;" micrograms"</f>
        <v>10 mcg/kg = 35 micrograms</v>
      </c>
      <c r="AD6" s="10" t="str">
        <f>IFERROR(IF(Admin!$X$61="On","max = 1000 micrograms",0),0)</f>
        <v>max = 1000 micrograms</v>
      </c>
      <c r="AE6" s="113" t="str">
        <f>IF($U6="","",IF($L6*$C$2&gt;$I6, "Yes","No"))</f>
        <v>No</v>
      </c>
      <c r="AF6" s="111"/>
      <c r="AG6" s="416" t="s">
        <v>455</v>
      </c>
    </row>
    <row r="7" spans="2:33" s="55" customFormat="1" ht="25" customHeight="1" thickBot="1" x14ac:dyDescent="0.25">
      <c r="B7" s="14" t="s">
        <v>121</v>
      </c>
      <c r="C7" s="349">
        <v>150</v>
      </c>
      <c r="D7" s="338" t="s">
        <v>7</v>
      </c>
      <c r="E7" s="350">
        <v>3</v>
      </c>
      <c r="F7" s="340">
        <f t="shared" ref="F7:F129" si="2">IFERROR(($C7/$E7),"")</f>
        <v>50</v>
      </c>
      <c r="G7" s="341" t="str">
        <f t="shared" ref="G7:G129" si="3">IF($D7="","",($D7&amp;" /mL"))</f>
        <v>mg /mL</v>
      </c>
      <c r="H7" s="349">
        <v>0</v>
      </c>
      <c r="I7" s="12">
        <v>300</v>
      </c>
      <c r="J7" s="339" t="str">
        <f t="shared" ref="J7:J104" si="4">IF(D7="","",D7)</f>
        <v>mg</v>
      </c>
      <c r="K7" s="349" t="s">
        <v>15</v>
      </c>
      <c r="L7" s="351">
        <v>5</v>
      </c>
      <c r="M7" s="11" t="str">
        <f t="shared" ref="M7:M104" si="5">IF(K7="Yes","to","")</f>
        <v/>
      </c>
      <c r="N7" s="352"/>
      <c r="O7" s="344" t="str">
        <f t="shared" ref="O7:O129" si="6">IF($D7="","",$D7&amp;"/kg")</f>
        <v>mg/kg</v>
      </c>
      <c r="P7" s="340">
        <f t="shared" ref="P7:P104" si="7">IFERROR(ROUND(IF($L7=0,"",IF(($L7*$C$2)&lt;$H7,$H7,IF(($L7*$C$2)&gt;$I7,$I7,($L7*$C$2)))),T7),"")</f>
        <v>17.5</v>
      </c>
      <c r="Q7" s="9" t="str">
        <f t="shared" ref="Q7:Q129" si="8">$M7</f>
        <v/>
      </c>
      <c r="R7" s="343" t="str">
        <f t="shared" ref="R7:R104" si="9">IFERROR(ROUND(IF($N7=0,"",IF(($N7*$C$2)&lt;$H7,$H7,IF(($N7*$C$2)&gt;$I7,$I7,($N7*$C$2)))),T7),"")</f>
        <v/>
      </c>
      <c r="S7" s="345" t="str">
        <f t="shared" si="0"/>
        <v>mg</v>
      </c>
      <c r="T7" s="346">
        <v>3</v>
      </c>
      <c r="U7" s="340">
        <f t="shared" ref="U7:U104" si="10">IFERROR(ROUND(($P7/$F7),Y7),"")</f>
        <v>0.35</v>
      </c>
      <c r="V7" s="9" t="str">
        <f t="shared" si="1"/>
        <v/>
      </c>
      <c r="W7" s="353" t="str">
        <f t="shared" ref="W7:W104" si="11">IFERROR(ROUND(($R7/$F7),Y7),"")</f>
        <v/>
      </c>
      <c r="X7" s="343" t="str">
        <f t="shared" ref="X7:X104" si="12">IF(U7="","","mL")</f>
        <v>mL</v>
      </c>
      <c r="Y7" s="10">
        <v>2</v>
      </c>
      <c r="Z7" s="348"/>
      <c r="AA7" s="317" t="str">
        <f t="shared" ref="AA7:AA129" si="13">IF($U7="","",IF($K7="Yes",$U7&amp;" - "&amp;$W7&amp;" mL",$U7&amp;" mL"))</f>
        <v>0.35 mL</v>
      </c>
      <c r="AB7" s="13"/>
      <c r="AC7" s="11" t="str">
        <f>"5 mg/kg = "&amp;P7&amp;" mg"</f>
        <v>5 mg/kg = 17.5 mg</v>
      </c>
      <c r="AD7" s="12" t="str">
        <f>IFERROR(IF(Admin!$X$61="On","max = 300 mg",0),0)</f>
        <v>max = 300 mg</v>
      </c>
      <c r="AE7" s="113" t="str">
        <f t="shared" ref="AE7:AE90" si="14">IF($U7="","",IF($L7*$C$2&gt;$I7, "Yes","No"))</f>
        <v>No</v>
      </c>
      <c r="AF7" s="112"/>
      <c r="AG7" s="248" t="s">
        <v>455</v>
      </c>
    </row>
    <row r="8" spans="2:33" s="55" customFormat="1" ht="25" customHeight="1" x14ac:dyDescent="0.2">
      <c r="B8" s="14" t="s">
        <v>391</v>
      </c>
      <c r="C8" s="349">
        <v>600</v>
      </c>
      <c r="D8" s="338" t="s">
        <v>8</v>
      </c>
      <c r="E8" s="350">
        <v>1</v>
      </c>
      <c r="F8" s="340">
        <f t="shared" si="2"/>
        <v>600</v>
      </c>
      <c r="G8" s="341" t="str">
        <f t="shared" si="3"/>
        <v>micrograms /mL</v>
      </c>
      <c r="H8" s="349">
        <v>0</v>
      </c>
      <c r="I8" s="12">
        <v>600</v>
      </c>
      <c r="J8" s="339" t="str">
        <f t="shared" si="4"/>
        <v>micrograms</v>
      </c>
      <c r="K8" s="349" t="s">
        <v>15</v>
      </c>
      <c r="L8" s="351">
        <v>20</v>
      </c>
      <c r="M8" s="11" t="str">
        <f t="shared" si="5"/>
        <v/>
      </c>
      <c r="N8" s="352"/>
      <c r="O8" s="344" t="str">
        <f t="shared" si="6"/>
        <v>micrograms/kg</v>
      </c>
      <c r="P8" s="340">
        <f t="shared" si="7"/>
        <v>70</v>
      </c>
      <c r="Q8" s="9" t="str">
        <f t="shared" si="8"/>
        <v/>
      </c>
      <c r="R8" s="343" t="str">
        <f t="shared" si="9"/>
        <v/>
      </c>
      <c r="S8" s="345" t="str">
        <f t="shared" si="0"/>
        <v>micrograms</v>
      </c>
      <c r="T8" s="346">
        <v>3</v>
      </c>
      <c r="U8" s="340">
        <f t="shared" si="10"/>
        <v>0.12</v>
      </c>
      <c r="V8" s="9" t="str">
        <f t="shared" si="1"/>
        <v/>
      </c>
      <c r="W8" s="343" t="str">
        <f t="shared" si="11"/>
        <v/>
      </c>
      <c r="X8" s="343" t="str">
        <f t="shared" si="12"/>
        <v>mL</v>
      </c>
      <c r="Y8" s="10">
        <v>2</v>
      </c>
      <c r="Z8" s="348"/>
      <c r="AA8" s="317" t="str">
        <f t="shared" si="13"/>
        <v>0.12 mL</v>
      </c>
      <c r="AB8" s="13"/>
      <c r="AC8" s="11" t="str">
        <f>"20 mcg/kg = "&amp;P8&amp;" micrograms"</f>
        <v>20 mcg/kg = 70 micrograms</v>
      </c>
      <c r="AD8" s="12" t="str">
        <f>IFERROR(IF(Admin!$X$61="On","max = 600 micrograms",0),0)</f>
        <v>max = 600 micrograms</v>
      </c>
      <c r="AE8" s="113" t="str">
        <f t="shared" si="14"/>
        <v>No</v>
      </c>
      <c r="AF8" s="112"/>
      <c r="AG8" s="248" t="s">
        <v>456</v>
      </c>
    </row>
    <row r="9" spans="2:33" s="55" customFormat="1" ht="25" customHeight="1" x14ac:dyDescent="0.2">
      <c r="B9" s="14" t="s">
        <v>31</v>
      </c>
      <c r="C9" s="349">
        <v>100</v>
      </c>
      <c r="D9" s="338" t="s">
        <v>32</v>
      </c>
      <c r="E9" s="350">
        <v>100</v>
      </c>
      <c r="F9" s="340">
        <f t="shared" si="2"/>
        <v>1</v>
      </c>
      <c r="G9" s="341" t="str">
        <f t="shared" si="3"/>
        <v>mmol /mL</v>
      </c>
      <c r="H9" s="349">
        <v>0</v>
      </c>
      <c r="I9" s="12">
        <v>100</v>
      </c>
      <c r="J9" s="339" t="str">
        <f t="shared" si="4"/>
        <v>mmol</v>
      </c>
      <c r="K9" s="349" t="s">
        <v>15</v>
      </c>
      <c r="L9" s="351">
        <v>1</v>
      </c>
      <c r="M9" s="11" t="str">
        <f t="shared" si="5"/>
        <v/>
      </c>
      <c r="N9" s="352"/>
      <c r="O9" s="344" t="str">
        <f t="shared" si="6"/>
        <v>mmol/kg</v>
      </c>
      <c r="P9" s="435">
        <f>IFERROR(MROUND(IF($L9=0,"",IF(($L9*$C$2)&lt;$H9,$H9,IF(($L9*$C$2)&gt;$I9,$I9,($L9*$C$2)))),1),"")</f>
        <v>4</v>
      </c>
      <c r="Q9" s="9" t="str">
        <f t="shared" si="8"/>
        <v/>
      </c>
      <c r="R9" s="343" t="str">
        <f t="shared" si="9"/>
        <v/>
      </c>
      <c r="S9" s="345" t="str">
        <f t="shared" si="0"/>
        <v>mmol</v>
      </c>
      <c r="T9" s="346">
        <v>2</v>
      </c>
      <c r="U9" s="340">
        <f t="shared" si="10"/>
        <v>4</v>
      </c>
      <c r="V9" s="9" t="str">
        <f t="shared" si="1"/>
        <v/>
      </c>
      <c r="W9" s="343" t="str">
        <f t="shared" si="11"/>
        <v/>
      </c>
      <c r="X9" s="343" t="str">
        <f t="shared" si="12"/>
        <v>mL</v>
      </c>
      <c r="Y9" s="10">
        <v>1</v>
      </c>
      <c r="Z9" s="348"/>
      <c r="AA9" s="317" t="str">
        <f t="shared" si="13"/>
        <v>4 mL</v>
      </c>
      <c r="AB9" s="13"/>
      <c r="AC9" s="11" t="str">
        <f>"1 mmol/kg = "&amp;P9&amp;" mmol"</f>
        <v>1 mmol/kg = 4 mmol</v>
      </c>
      <c r="AD9" s="12" t="str">
        <f>IFERROR(IF(Admin!$X$61="On","max = 100 mL",0),0)</f>
        <v>max = 100 mL</v>
      </c>
      <c r="AE9" s="113" t="str">
        <f t="shared" si="14"/>
        <v>No</v>
      </c>
      <c r="AF9" s="112"/>
      <c r="AG9" s="13"/>
    </row>
    <row r="10" spans="2:33" s="55" customFormat="1" ht="25" customHeight="1" x14ac:dyDescent="0.2">
      <c r="B10" s="14" t="s">
        <v>23</v>
      </c>
      <c r="C10" s="349">
        <v>2.2000000000000002</v>
      </c>
      <c r="D10" s="338" t="s">
        <v>32</v>
      </c>
      <c r="E10" s="350">
        <v>10</v>
      </c>
      <c r="F10" s="340">
        <f t="shared" si="2"/>
        <v>0.22000000000000003</v>
      </c>
      <c r="G10" s="341" t="str">
        <f t="shared" si="3"/>
        <v>mmol /mL</v>
      </c>
      <c r="H10" s="349">
        <v>0</v>
      </c>
      <c r="I10" s="12">
        <v>4.4000000000000004</v>
      </c>
      <c r="J10" s="339" t="str">
        <f t="shared" si="4"/>
        <v>mmol</v>
      </c>
      <c r="K10" s="349" t="s">
        <v>15</v>
      </c>
      <c r="L10" s="351">
        <v>0.11</v>
      </c>
      <c r="M10" s="11" t="str">
        <f t="shared" si="5"/>
        <v/>
      </c>
      <c r="N10" s="352"/>
      <c r="O10" s="344" t="str">
        <f t="shared" si="6"/>
        <v>mmol/kg</v>
      </c>
      <c r="P10" s="340">
        <f t="shared" si="7"/>
        <v>0.39</v>
      </c>
      <c r="Q10" s="9" t="str">
        <f t="shared" si="8"/>
        <v/>
      </c>
      <c r="R10" s="343" t="str">
        <f t="shared" si="9"/>
        <v/>
      </c>
      <c r="S10" s="345" t="str">
        <f t="shared" si="0"/>
        <v>mmol</v>
      </c>
      <c r="T10" s="346">
        <v>2</v>
      </c>
      <c r="U10" s="340">
        <f t="shared" si="10"/>
        <v>1.8</v>
      </c>
      <c r="V10" s="9" t="str">
        <f t="shared" si="1"/>
        <v/>
      </c>
      <c r="W10" s="343" t="str">
        <f t="shared" si="11"/>
        <v/>
      </c>
      <c r="X10" s="343" t="str">
        <f t="shared" si="12"/>
        <v>mL</v>
      </c>
      <c r="Y10" s="10">
        <v>1</v>
      </c>
      <c r="Z10" s="348"/>
      <c r="AA10" s="317" t="str">
        <f t="shared" si="13"/>
        <v>1.8 mL</v>
      </c>
      <c r="AB10" s="13" t="s">
        <v>531</v>
      </c>
      <c r="AC10" s="11" t="str">
        <f>"0.5 mL/kg = "&amp;U10&amp;" mL neat"</f>
        <v>0.5 mL/kg = 1.8 mL neat</v>
      </c>
      <c r="AD10" s="12" t="str">
        <f>IFERROR(IF(Admin!$X$61="On","max = 20 mL",0),0)</f>
        <v>max = 20 mL</v>
      </c>
      <c r="AE10" s="113" t="str">
        <f t="shared" si="14"/>
        <v>No</v>
      </c>
      <c r="AF10" s="112"/>
      <c r="AG10" s="248" t="s">
        <v>457</v>
      </c>
    </row>
    <row r="11" spans="2:33" s="55" customFormat="1" ht="25" customHeight="1" x14ac:dyDescent="0.2">
      <c r="B11" s="14" t="s">
        <v>22</v>
      </c>
      <c r="C11" s="349">
        <v>500</v>
      </c>
      <c r="D11" s="338" t="s">
        <v>29</v>
      </c>
      <c r="E11" s="350">
        <v>500</v>
      </c>
      <c r="F11" s="340">
        <f t="shared" si="2"/>
        <v>1</v>
      </c>
      <c r="G11" s="341" t="str">
        <f t="shared" si="3"/>
        <v>mL /mL</v>
      </c>
      <c r="H11" s="349">
        <v>0</v>
      </c>
      <c r="I11" s="12">
        <v>500</v>
      </c>
      <c r="J11" s="339" t="str">
        <f t="shared" si="4"/>
        <v>mL</v>
      </c>
      <c r="K11" s="349" t="s">
        <v>14</v>
      </c>
      <c r="L11" s="351">
        <v>2</v>
      </c>
      <c r="M11" s="11" t="str">
        <f t="shared" si="5"/>
        <v>to</v>
      </c>
      <c r="N11" s="352">
        <v>5</v>
      </c>
      <c r="O11" s="344" t="str">
        <f t="shared" si="6"/>
        <v>mL/kg</v>
      </c>
      <c r="P11" s="435">
        <f>IFERROR(MROUND(IF($L11=0,"",IF(($L11*$C$2)&lt;$H11,$H11,IF(($L11*$C$2)&gt;$I11,$I11,($L11*$C$2)))),1),"")</f>
        <v>7</v>
      </c>
      <c r="Q11" s="9" t="str">
        <f t="shared" si="8"/>
        <v>to</v>
      </c>
      <c r="R11" s="436">
        <f>IFERROR(MROUND(IF($N11=0,"",IF(($N11*$C$2)&lt;$H11,$H11,IF(($N11*$C$2)&gt;$I11,$I11,($N11*$C$2)))),1),"")</f>
        <v>18</v>
      </c>
      <c r="S11" s="345" t="str">
        <f t="shared" si="0"/>
        <v>mL</v>
      </c>
      <c r="T11" s="346">
        <v>2</v>
      </c>
      <c r="U11" s="340">
        <f t="shared" si="10"/>
        <v>7</v>
      </c>
      <c r="V11" s="9" t="str">
        <f t="shared" si="1"/>
        <v>to</v>
      </c>
      <c r="W11" s="343">
        <f t="shared" si="11"/>
        <v>18</v>
      </c>
      <c r="X11" s="343" t="str">
        <f t="shared" si="12"/>
        <v>mL</v>
      </c>
      <c r="Y11" s="10">
        <v>0</v>
      </c>
      <c r="Z11" s="348"/>
      <c r="AA11" s="317" t="str">
        <f t="shared" si="13"/>
        <v>7 - 18 mL</v>
      </c>
      <c r="AB11" s="13"/>
      <c r="AC11" s="11" t="str">
        <f>"2-5 mL/kg = "&amp;U11&amp;" - "&amp;W11&amp;" mL"</f>
        <v>2-5 mL/kg = 7 - 18 mL</v>
      </c>
      <c r="AD11" s="12" t="str">
        <f>IFERROR(IF(Admin!$X$61="On","max = 500 mL",0),0)</f>
        <v>max = 500 mL</v>
      </c>
      <c r="AE11" s="113" t="str">
        <f t="shared" si="14"/>
        <v>No</v>
      </c>
      <c r="AF11" s="112"/>
      <c r="AG11" s="248" t="s">
        <v>458</v>
      </c>
    </row>
    <row r="12" spans="2:33" s="55" customFormat="1" ht="25" customHeight="1" x14ac:dyDescent="0.2">
      <c r="B12" s="14"/>
      <c r="C12" s="349"/>
      <c r="D12" s="338"/>
      <c r="E12" s="350"/>
      <c r="F12" s="340" t="str">
        <f t="shared" si="2"/>
        <v/>
      </c>
      <c r="G12" s="341" t="str">
        <f t="shared" si="3"/>
        <v/>
      </c>
      <c r="H12" s="349"/>
      <c r="I12" s="12"/>
      <c r="J12" s="339" t="str">
        <f t="shared" si="4"/>
        <v/>
      </c>
      <c r="K12" s="349"/>
      <c r="L12" s="351"/>
      <c r="M12" s="11" t="str">
        <f t="shared" si="5"/>
        <v/>
      </c>
      <c r="N12" s="352"/>
      <c r="O12" s="344" t="str">
        <f t="shared" si="6"/>
        <v/>
      </c>
      <c r="P12" s="340" t="str">
        <f t="shared" si="7"/>
        <v/>
      </c>
      <c r="Q12" s="9" t="str">
        <f t="shared" si="8"/>
        <v/>
      </c>
      <c r="R12" s="343" t="str">
        <f t="shared" si="9"/>
        <v/>
      </c>
      <c r="S12" s="345" t="str">
        <f t="shared" si="0"/>
        <v/>
      </c>
      <c r="T12" s="346"/>
      <c r="U12" s="340" t="str">
        <f t="shared" si="10"/>
        <v/>
      </c>
      <c r="V12" s="9" t="str">
        <f t="shared" si="1"/>
        <v/>
      </c>
      <c r="W12" s="343" t="str">
        <f t="shared" si="11"/>
        <v/>
      </c>
      <c r="X12" s="343" t="str">
        <f t="shared" si="12"/>
        <v/>
      </c>
      <c r="Y12" s="10"/>
      <c r="Z12" s="348"/>
      <c r="AA12" s="317" t="str">
        <f t="shared" si="13"/>
        <v/>
      </c>
      <c r="AB12" s="13"/>
      <c r="AC12" s="11"/>
      <c r="AD12" s="12"/>
      <c r="AE12" s="113" t="str">
        <f t="shared" si="14"/>
        <v/>
      </c>
      <c r="AF12" s="112"/>
      <c r="AG12" s="13"/>
    </row>
    <row r="13" spans="2:33" s="55" customFormat="1" ht="25" customHeight="1" x14ac:dyDescent="0.2">
      <c r="B13" s="14" t="s">
        <v>27</v>
      </c>
      <c r="C13" s="349">
        <v>500</v>
      </c>
      <c r="D13" s="338" t="s">
        <v>29</v>
      </c>
      <c r="E13" s="350">
        <v>500</v>
      </c>
      <c r="F13" s="340">
        <f t="shared" si="2"/>
        <v>1</v>
      </c>
      <c r="G13" s="341" t="str">
        <f t="shared" si="3"/>
        <v>mL /mL</v>
      </c>
      <c r="H13" s="349">
        <v>0</v>
      </c>
      <c r="I13" s="12">
        <v>1000</v>
      </c>
      <c r="J13" s="339" t="str">
        <f t="shared" si="4"/>
        <v>mL</v>
      </c>
      <c r="K13" s="349" t="s">
        <v>14</v>
      </c>
      <c r="L13" s="351">
        <v>10</v>
      </c>
      <c r="M13" s="11" t="str">
        <f t="shared" si="5"/>
        <v>to</v>
      </c>
      <c r="N13" s="352">
        <v>20</v>
      </c>
      <c r="O13" s="344" t="str">
        <f t="shared" si="6"/>
        <v>mL/kg</v>
      </c>
      <c r="P13" s="435">
        <f>IFERROR(MROUND(IF($L13=0,"",IF(($L13*$C$2)&lt;$H13,$H13,IF(($L13*$C$2)&gt;$I13,$I13,($L13*$C$2)))),1),"")</f>
        <v>35</v>
      </c>
      <c r="Q13" s="9" t="str">
        <f t="shared" si="8"/>
        <v>to</v>
      </c>
      <c r="R13" s="436">
        <f>IFERROR(MROUND(IF($N13=0,"",IF(($N13*$C$2)&lt;$H13,$H13,IF(($N13*$C$2)&gt;$I13,$I13,($N13*$C$2)))),1),"")</f>
        <v>70</v>
      </c>
      <c r="S13" s="345" t="str">
        <f t="shared" si="0"/>
        <v>mL</v>
      </c>
      <c r="T13" s="346">
        <v>2</v>
      </c>
      <c r="U13" s="340">
        <f t="shared" si="10"/>
        <v>35</v>
      </c>
      <c r="V13" s="9" t="str">
        <f t="shared" si="1"/>
        <v>to</v>
      </c>
      <c r="W13" s="343">
        <f t="shared" si="11"/>
        <v>70</v>
      </c>
      <c r="X13" s="343" t="str">
        <f t="shared" si="12"/>
        <v>mL</v>
      </c>
      <c r="Y13" s="10">
        <v>0</v>
      </c>
      <c r="Z13" s="348"/>
      <c r="AA13" s="577" t="str">
        <f>IF($U13=$W13,$U13&amp;" mL",$U13&amp;" - "&amp;$W13&amp;" mL")</f>
        <v>35 - 70 mL</v>
      </c>
      <c r="AB13" s="13" t="s">
        <v>546</v>
      </c>
      <c r="AC13" s="11" t="str">
        <f>"10-20 mL/kg = "&amp;U13&amp;" - "&amp;W13&amp;" mL"</f>
        <v>10-20 mL/kg = 35 - 70 mL</v>
      </c>
      <c r="AD13" s="12" t="s">
        <v>52</v>
      </c>
      <c r="AE13" s="113" t="str">
        <f t="shared" si="14"/>
        <v>No</v>
      </c>
      <c r="AF13" s="112"/>
      <c r="AG13" s="248" t="s">
        <v>478</v>
      </c>
    </row>
    <row r="14" spans="2:33" s="55" customFormat="1" ht="25" customHeight="1" x14ac:dyDescent="0.2">
      <c r="B14" s="14" t="s">
        <v>772</v>
      </c>
      <c r="C14" s="349">
        <v>500</v>
      </c>
      <c r="D14" s="338" t="s">
        <v>29</v>
      </c>
      <c r="E14" s="350">
        <v>500</v>
      </c>
      <c r="F14" s="340">
        <f t="shared" si="2"/>
        <v>1</v>
      </c>
      <c r="G14" s="341" t="str">
        <f t="shared" si="3"/>
        <v>mL /mL</v>
      </c>
      <c r="H14" s="349">
        <v>0</v>
      </c>
      <c r="I14" s="12">
        <v>1000</v>
      </c>
      <c r="J14" s="339" t="str">
        <f t="shared" si="4"/>
        <v>mL</v>
      </c>
      <c r="K14" s="349" t="s">
        <v>14</v>
      </c>
      <c r="L14" s="351">
        <v>5</v>
      </c>
      <c r="M14" s="11" t="str">
        <f t="shared" si="5"/>
        <v>to</v>
      </c>
      <c r="N14" s="352">
        <v>10</v>
      </c>
      <c r="O14" s="344" t="str">
        <f t="shared" si="6"/>
        <v>mL/kg</v>
      </c>
      <c r="P14" s="435">
        <f>IFERROR(MROUND(IF($L14=0,"",IF(($L14*$C$2)&lt;$H14,$H14,IF(($L14*$C$2)&gt;$I14,$I14,($L14*$C$2)))),1),"")</f>
        <v>18</v>
      </c>
      <c r="Q14" s="9" t="str">
        <f t="shared" si="8"/>
        <v>to</v>
      </c>
      <c r="R14" s="436">
        <f>IFERROR(MROUND(IF($N14=0,"",IF(($N14*$C$2)&lt;$H14,$H14,IF(($N14*$C$2)&gt;$I14,$I14,($N14*$C$2)))),1),"")</f>
        <v>35</v>
      </c>
      <c r="S14" s="345" t="str">
        <f t="shared" si="0"/>
        <v>mL</v>
      </c>
      <c r="T14" s="346">
        <v>2</v>
      </c>
      <c r="U14" s="340">
        <f t="shared" si="10"/>
        <v>18</v>
      </c>
      <c r="V14" s="9" t="str">
        <f t="shared" si="1"/>
        <v>to</v>
      </c>
      <c r="W14" s="343">
        <f t="shared" si="11"/>
        <v>35</v>
      </c>
      <c r="X14" s="343" t="str">
        <f t="shared" si="12"/>
        <v>mL</v>
      </c>
      <c r="Y14" s="10">
        <v>0</v>
      </c>
      <c r="Z14" s="348"/>
      <c r="AA14" s="577" t="str">
        <f>IF($U14=$W14,$U14&amp;" mL",$U14&amp;" - "&amp;$W14&amp;" mL")</f>
        <v>18 - 35 mL</v>
      </c>
      <c r="AB14" s="13" t="s">
        <v>546</v>
      </c>
      <c r="AC14" s="11" t="str">
        <f>"5-10 mL/kg = "&amp;U14&amp;" - "&amp;W14&amp;" mL"</f>
        <v>5-10 mL/kg = 18 - 35 mL</v>
      </c>
      <c r="AD14" s="12" t="s">
        <v>52</v>
      </c>
      <c r="AE14" s="113" t="str">
        <f t="shared" si="14"/>
        <v>No</v>
      </c>
      <c r="AF14" s="112"/>
      <c r="AG14" s="248" t="s">
        <v>461</v>
      </c>
    </row>
    <row r="15" spans="2:33" s="55" customFormat="1" ht="25" customHeight="1" x14ac:dyDescent="0.2">
      <c r="B15" s="14" t="s">
        <v>770</v>
      </c>
      <c r="C15" s="349">
        <v>100</v>
      </c>
      <c r="D15" s="338" t="s">
        <v>8</v>
      </c>
      <c r="E15" s="350">
        <v>10</v>
      </c>
      <c r="F15" s="340">
        <f t="shared" si="2"/>
        <v>10</v>
      </c>
      <c r="G15" s="341" t="str">
        <f t="shared" si="3"/>
        <v>micrograms /mL</v>
      </c>
      <c r="H15" s="349">
        <v>0</v>
      </c>
      <c r="I15" s="12">
        <v>50</v>
      </c>
      <c r="J15" s="339" t="str">
        <f t="shared" si="4"/>
        <v>micrograms</v>
      </c>
      <c r="K15" s="349" t="s">
        <v>15</v>
      </c>
      <c r="L15" s="351">
        <v>1</v>
      </c>
      <c r="M15" s="11" t="str">
        <f t="shared" si="5"/>
        <v/>
      </c>
      <c r="N15" s="352"/>
      <c r="O15" s="344" t="str">
        <f t="shared" si="6"/>
        <v>micrograms/kg</v>
      </c>
      <c r="P15" s="340">
        <f t="shared" si="7"/>
        <v>3.5</v>
      </c>
      <c r="Q15" s="9" t="str">
        <f t="shared" si="8"/>
        <v/>
      </c>
      <c r="R15" s="343"/>
      <c r="S15" s="345" t="str">
        <f t="shared" si="0"/>
        <v>micrograms</v>
      </c>
      <c r="T15" s="346">
        <v>2</v>
      </c>
      <c r="U15" s="340">
        <f t="shared" si="10"/>
        <v>0.35</v>
      </c>
      <c r="V15" s="9" t="str">
        <f t="shared" si="1"/>
        <v/>
      </c>
      <c r="W15" s="343"/>
      <c r="X15" s="343" t="str">
        <f t="shared" si="12"/>
        <v>mL</v>
      </c>
      <c r="Y15" s="354">
        <v>2</v>
      </c>
      <c r="Z15" s="348"/>
      <c r="AA15" s="317" t="str">
        <f>"Dilute As per box on right"&amp;CHAR(10)&amp;" DOSE: "&amp;$U15&amp;" mL of dilution"</f>
        <v>Dilute As per box on right
 DOSE: 0.35 mL of dilution</v>
      </c>
      <c r="AB15" s="13" t="s">
        <v>385</v>
      </c>
      <c r="AC15" s="11" t="s">
        <v>383</v>
      </c>
      <c r="AD15" s="12" t="s">
        <v>384</v>
      </c>
      <c r="AE15" s="113" t="str">
        <f t="shared" si="14"/>
        <v>No</v>
      </c>
      <c r="AF15" s="112"/>
      <c r="AG15" s="248" t="s">
        <v>461</v>
      </c>
    </row>
    <row r="16" spans="2:33" s="55" customFormat="1" ht="25" customHeight="1" x14ac:dyDescent="0.2">
      <c r="B16" s="14" t="s">
        <v>751</v>
      </c>
      <c r="C16" s="355">
        <f>IF($C$2&lt;10,(10*$C$2),100)</f>
        <v>35</v>
      </c>
      <c r="D16" s="338" t="s">
        <v>8</v>
      </c>
      <c r="E16" s="350">
        <v>10</v>
      </c>
      <c r="F16" s="340">
        <f t="shared" si="2"/>
        <v>3.5</v>
      </c>
      <c r="G16" s="341" t="str">
        <f t="shared" si="3"/>
        <v>micrograms /mL</v>
      </c>
      <c r="H16" s="349">
        <v>0</v>
      </c>
      <c r="I16" s="255">
        <v>10</v>
      </c>
      <c r="J16" s="339" t="str">
        <f t="shared" si="4"/>
        <v>micrograms</v>
      </c>
      <c r="K16" s="349" t="s">
        <v>15</v>
      </c>
      <c r="L16" s="351">
        <v>1</v>
      </c>
      <c r="M16" s="11" t="str">
        <f t="shared" si="5"/>
        <v/>
      </c>
      <c r="N16" s="352"/>
      <c r="O16" s="344" t="str">
        <f t="shared" si="6"/>
        <v>micrograms/kg</v>
      </c>
      <c r="P16" s="340">
        <f t="shared" si="7"/>
        <v>3.5</v>
      </c>
      <c r="Q16" s="9" t="str">
        <f t="shared" si="8"/>
        <v/>
      </c>
      <c r="R16" s="343" t="str">
        <f t="shared" si="9"/>
        <v/>
      </c>
      <c r="S16" s="345" t="str">
        <f t="shared" si="0"/>
        <v>micrograms</v>
      </c>
      <c r="T16" s="346">
        <v>2</v>
      </c>
      <c r="U16" s="340">
        <f t="shared" si="10"/>
        <v>1</v>
      </c>
      <c r="V16" s="9" t="str">
        <f t="shared" si="1"/>
        <v/>
      </c>
      <c r="W16" s="343" t="str">
        <f t="shared" si="11"/>
        <v/>
      </c>
      <c r="X16" s="343" t="str">
        <f t="shared" si="12"/>
        <v>mL</v>
      </c>
      <c r="Y16" s="10">
        <v>2</v>
      </c>
      <c r="Z16" s="348"/>
      <c r="AA16" s="317" t="str">
        <f>"Dilute as per box on right"&amp;CHAR(10)&amp;" DOSE: "&amp;$U16&amp;" mL of dilution"</f>
        <v>Dilute as per box on right
 DOSE: 1 mL of dilution</v>
      </c>
      <c r="AB16" s="319" t="str">
        <f>IF($C$2&gt;10,"Dose: 10 mcg","Dose: 1 mcg/kg = "&amp;$P16&amp;" mcg")</f>
        <v>Dose: 1 mcg/kg = 3.5 mcg</v>
      </c>
      <c r="AC16" s="256" t="str">
        <f>"Dilute "&amp;IF($C$2&gt;10,1,$U$6)&amp;" mL of 1:10,000 Adrenaline"</f>
        <v>Dilute 0.35 mL of 1:10,000 Adrenaline</v>
      </c>
      <c r="AD16" s="12" t="s">
        <v>37</v>
      </c>
      <c r="AE16" s="113" t="str">
        <f t="shared" si="14"/>
        <v>No</v>
      </c>
      <c r="AF16" s="112"/>
      <c r="AG16" s="248" t="s">
        <v>459</v>
      </c>
    </row>
    <row r="17" spans="2:33" s="55" customFormat="1" ht="25" customHeight="1" x14ac:dyDescent="0.2">
      <c r="B17" s="14" t="s">
        <v>613</v>
      </c>
      <c r="C17" s="349">
        <v>10000</v>
      </c>
      <c r="D17" s="338" t="s">
        <v>8</v>
      </c>
      <c r="E17" s="350">
        <v>100</v>
      </c>
      <c r="F17" s="340">
        <f t="shared" si="2"/>
        <v>100</v>
      </c>
      <c r="G17" s="341" t="str">
        <f t="shared" si="3"/>
        <v>micrograms /mL</v>
      </c>
      <c r="H17" s="349">
        <v>0</v>
      </c>
      <c r="I17" s="12">
        <v>500</v>
      </c>
      <c r="J17" s="339" t="str">
        <f t="shared" si="4"/>
        <v>micrograms</v>
      </c>
      <c r="K17" s="349" t="s">
        <v>15</v>
      </c>
      <c r="L17" s="351">
        <v>10</v>
      </c>
      <c r="M17" s="11" t="str">
        <f t="shared" si="5"/>
        <v/>
      </c>
      <c r="N17" s="352"/>
      <c r="O17" s="344" t="str">
        <f t="shared" si="6"/>
        <v>micrograms/kg</v>
      </c>
      <c r="P17" s="340">
        <f t="shared" si="7"/>
        <v>35</v>
      </c>
      <c r="Q17" s="9" t="str">
        <f t="shared" si="8"/>
        <v/>
      </c>
      <c r="R17" s="343" t="str">
        <f t="shared" si="9"/>
        <v/>
      </c>
      <c r="S17" s="345" t="str">
        <f t="shared" si="0"/>
        <v>micrograms</v>
      </c>
      <c r="T17" s="346">
        <v>2</v>
      </c>
      <c r="U17" s="340">
        <f t="shared" si="10"/>
        <v>0.4</v>
      </c>
      <c r="V17" s="9" t="str">
        <f t="shared" si="1"/>
        <v/>
      </c>
      <c r="W17" s="343" t="str">
        <f t="shared" si="11"/>
        <v/>
      </c>
      <c r="X17" s="343" t="str">
        <f t="shared" si="12"/>
        <v>mL</v>
      </c>
      <c r="Y17" s="10">
        <v>1</v>
      </c>
      <c r="Z17" s="356">
        <f>IF($C$2&lt;10,1,10)</f>
        <v>1</v>
      </c>
      <c r="AA17" s="317" t="str">
        <f>"Dilute as per box on right"&amp;CHAR(10)&amp;" DOSE: "&amp;$U17&amp;" mL of dilution"</f>
        <v>Dilute as per box on right
 DOSE: 0.4 mL of dilution</v>
      </c>
      <c r="AB17" s="13" t="str">
        <f>"Dose: 10 mcg/kg = "&amp;$P17&amp;" mcg"</f>
        <v>Dose: 10 mcg/kg = 35 mcg</v>
      </c>
      <c r="AC17" s="11" t="s">
        <v>438</v>
      </c>
      <c r="AD17" s="255" t="str">
        <f>"normal saline. Draw up into "&amp;$Z$17&amp;" mL syringe"</f>
        <v>normal saline. Draw up into 1 mL syringe</v>
      </c>
      <c r="AE17" s="113" t="str">
        <f t="shared" si="14"/>
        <v>No</v>
      </c>
      <c r="AF17" s="112"/>
      <c r="AG17" s="248" t="s">
        <v>460</v>
      </c>
    </row>
    <row r="18" spans="2:33" s="55" customFormat="1" ht="25" customHeight="1" x14ac:dyDescent="0.2">
      <c r="B18" s="14" t="s">
        <v>283</v>
      </c>
      <c r="C18" s="349">
        <v>2.2000000000000002</v>
      </c>
      <c r="D18" s="338" t="s">
        <v>32</v>
      </c>
      <c r="E18" s="350">
        <v>10</v>
      </c>
      <c r="F18" s="340">
        <f t="shared" si="2"/>
        <v>0.22000000000000003</v>
      </c>
      <c r="G18" s="341" t="str">
        <f t="shared" si="3"/>
        <v>mmol /mL</v>
      </c>
      <c r="H18" s="349">
        <v>0</v>
      </c>
      <c r="I18" s="12">
        <v>2.2000000000000002</v>
      </c>
      <c r="J18" s="339" t="str">
        <f t="shared" si="4"/>
        <v>mmol</v>
      </c>
      <c r="K18" s="349" t="s">
        <v>15</v>
      </c>
      <c r="L18" s="351">
        <v>0.11</v>
      </c>
      <c r="M18" s="11" t="str">
        <f t="shared" si="5"/>
        <v/>
      </c>
      <c r="N18" s="352"/>
      <c r="O18" s="344" t="str">
        <f t="shared" si="6"/>
        <v>mmol/kg</v>
      </c>
      <c r="P18" s="340">
        <f t="shared" si="7"/>
        <v>0.39</v>
      </c>
      <c r="Q18" s="9" t="str">
        <f t="shared" si="8"/>
        <v/>
      </c>
      <c r="R18" s="343" t="str">
        <f t="shared" si="9"/>
        <v/>
      </c>
      <c r="S18" s="345" t="str">
        <f t="shared" si="0"/>
        <v>mmol</v>
      </c>
      <c r="T18" s="346">
        <v>2</v>
      </c>
      <c r="U18" s="340">
        <f t="shared" si="10"/>
        <v>1.8</v>
      </c>
      <c r="V18" s="9" t="str">
        <f t="shared" si="1"/>
        <v/>
      </c>
      <c r="W18" s="343" t="str">
        <f t="shared" si="11"/>
        <v/>
      </c>
      <c r="X18" s="343" t="str">
        <f t="shared" si="12"/>
        <v>mL</v>
      </c>
      <c r="Y18" s="10">
        <v>1</v>
      </c>
      <c r="Z18" s="348"/>
      <c r="AA18" s="318" t="str">
        <f>IF(OR(ISTEXT($L$2),$L$2&lt;0.5),U18&amp;" mL","Not recommended at this age")</f>
        <v>1.8 mL</v>
      </c>
      <c r="AB18" s="13" t="s">
        <v>120</v>
      </c>
      <c r="AC18" s="249" t="str">
        <f>IF(OR(ISTEXT($L$2),$L$2&lt;0.5),"0.5 mL/kg = "&amp;U18&amp;" mL neat",0)</f>
        <v>0.5 mL/kg = 1.8 mL neat</v>
      </c>
      <c r="AD18" s="250" t="str">
        <f>IF(OR(ISTEXT($L$2),$L$2&lt;0.5),"Can repeat once",0)</f>
        <v>Can repeat once</v>
      </c>
      <c r="AE18" s="113" t="str">
        <f t="shared" si="14"/>
        <v>No</v>
      </c>
      <c r="AF18" s="112"/>
      <c r="AG18" s="248" t="s">
        <v>461</v>
      </c>
    </row>
    <row r="19" spans="2:33" s="55" customFormat="1" ht="25" customHeight="1" x14ac:dyDescent="0.2">
      <c r="B19" s="14"/>
      <c r="C19" s="349"/>
      <c r="D19" s="338"/>
      <c r="E19" s="350"/>
      <c r="F19" s="340" t="str">
        <f t="shared" si="2"/>
        <v/>
      </c>
      <c r="G19" s="341" t="str">
        <f t="shared" si="3"/>
        <v/>
      </c>
      <c r="H19" s="349"/>
      <c r="I19" s="12"/>
      <c r="J19" s="339" t="str">
        <f t="shared" si="4"/>
        <v/>
      </c>
      <c r="K19" s="349"/>
      <c r="L19" s="351"/>
      <c r="M19" s="11" t="str">
        <f t="shared" si="5"/>
        <v/>
      </c>
      <c r="N19" s="352"/>
      <c r="O19" s="344" t="str">
        <f t="shared" si="6"/>
        <v/>
      </c>
      <c r="P19" s="340" t="str">
        <f t="shared" si="7"/>
        <v/>
      </c>
      <c r="Q19" s="9" t="str">
        <f t="shared" si="8"/>
        <v/>
      </c>
      <c r="R19" s="343" t="str">
        <f t="shared" si="9"/>
        <v/>
      </c>
      <c r="S19" s="345" t="str">
        <f t="shared" si="0"/>
        <v/>
      </c>
      <c r="T19" s="346"/>
      <c r="U19" s="340" t="str">
        <f t="shared" si="10"/>
        <v/>
      </c>
      <c r="V19" s="9" t="str">
        <f t="shared" si="1"/>
        <v/>
      </c>
      <c r="W19" s="343" t="str">
        <f t="shared" si="11"/>
        <v/>
      </c>
      <c r="X19" s="343" t="str">
        <f t="shared" si="12"/>
        <v/>
      </c>
      <c r="Y19" s="10"/>
      <c r="Z19" s="348"/>
      <c r="AA19" s="317" t="str">
        <f t="shared" si="13"/>
        <v/>
      </c>
      <c r="AB19" s="13"/>
      <c r="AC19" s="11"/>
      <c r="AD19" s="12"/>
      <c r="AE19" s="113" t="str">
        <f t="shared" si="14"/>
        <v/>
      </c>
      <c r="AF19" s="112"/>
      <c r="AG19" s="13"/>
    </row>
    <row r="20" spans="2:33" s="55" customFormat="1" ht="25" customHeight="1" x14ac:dyDescent="0.2">
      <c r="B20" s="14" t="s">
        <v>602</v>
      </c>
      <c r="C20" s="349">
        <v>5</v>
      </c>
      <c r="D20" s="338" t="s">
        <v>7</v>
      </c>
      <c r="E20" s="350">
        <v>5</v>
      </c>
      <c r="F20" s="340">
        <f t="shared" si="2"/>
        <v>1</v>
      </c>
      <c r="G20" s="341" t="str">
        <f t="shared" si="3"/>
        <v>mg /mL</v>
      </c>
      <c r="H20" s="349">
        <v>0</v>
      </c>
      <c r="I20" s="12">
        <v>10</v>
      </c>
      <c r="J20" s="339" t="str">
        <f t="shared" ref="J20" si="15">IF(D20="","",D20)</f>
        <v>mg</v>
      </c>
      <c r="K20" s="349" t="s">
        <v>15</v>
      </c>
      <c r="L20" s="351">
        <v>0.15</v>
      </c>
      <c r="M20" s="11" t="str">
        <f t="shared" ref="M20" si="16">IF(K20="Yes","to","")</f>
        <v/>
      </c>
      <c r="N20" s="352"/>
      <c r="O20" s="344" t="str">
        <f t="shared" si="6"/>
        <v>mg/kg</v>
      </c>
      <c r="P20" s="340">
        <f t="shared" ref="P20" si="17">IFERROR(ROUND(IF($L20=0,"",IF(($L20*$C$2)&lt;$H20,$H20,IF(($L20*$C$2)&gt;$I20,$I20,($L20*$C$2)))),T20),"")</f>
        <v>0.53</v>
      </c>
      <c r="Q20" s="9" t="str">
        <f t="shared" si="8"/>
        <v/>
      </c>
      <c r="R20" s="343" t="str">
        <f t="shared" ref="R20" si="18">IFERROR(ROUND(IF($N20=0,"",IF(($N20*$C$2)&lt;$H20,$H20,IF(($N20*$C$2)&gt;$I20,$I20,($N20*$C$2)))),T20),"")</f>
        <v/>
      </c>
      <c r="S20" s="345" t="str">
        <f t="shared" ref="S20" si="19">IF(D20="","",D20)</f>
        <v>mg</v>
      </c>
      <c r="T20" s="346">
        <v>2</v>
      </c>
      <c r="U20" s="340">
        <f t="shared" ref="U20" si="20">IFERROR(ROUND(($P20/$F20),Y20),"")</f>
        <v>0.5</v>
      </c>
      <c r="V20" s="9" t="str">
        <f t="shared" ref="V20" si="21">M20</f>
        <v/>
      </c>
      <c r="W20" s="343" t="str">
        <f t="shared" ref="W20" si="22">IFERROR(ROUND(($R20/$F20),Y20),"")</f>
        <v/>
      </c>
      <c r="X20" s="343" t="str">
        <f t="shared" ref="X20" si="23">IF(U20="","","mL")</f>
        <v>mL</v>
      </c>
      <c r="Y20" s="10">
        <v>1</v>
      </c>
      <c r="Z20" s="348"/>
      <c r="AA20" s="317" t="str">
        <f t="shared" si="13"/>
        <v>0.5 mL</v>
      </c>
      <c r="AB20" s="13"/>
      <c r="AC20" s="11" t="str">
        <f>"0.15 mg/kg = "&amp;P20&amp;" mg"</f>
        <v>0.15 mg/kg = 0.53 mg</v>
      </c>
      <c r="AD20" s="12" t="str">
        <f>IFERROR(IF(Admin!$X$61="On","max = 10 mg",0),0)</f>
        <v>max = 10 mg</v>
      </c>
      <c r="AE20" s="113" t="str">
        <f t="shared" si="14"/>
        <v>No</v>
      </c>
      <c r="AF20" s="112"/>
      <c r="AG20" s="248" t="s">
        <v>462</v>
      </c>
    </row>
    <row r="21" spans="2:33" s="55" customFormat="1" ht="25" customHeight="1" x14ac:dyDescent="0.2">
      <c r="B21" s="14" t="s">
        <v>122</v>
      </c>
      <c r="C21" s="349">
        <v>15</v>
      </c>
      <c r="D21" s="338" t="s">
        <v>7</v>
      </c>
      <c r="E21" s="350">
        <v>3</v>
      </c>
      <c r="F21" s="340">
        <f t="shared" si="2"/>
        <v>5</v>
      </c>
      <c r="G21" s="341" t="str">
        <f t="shared" si="3"/>
        <v>mg /mL</v>
      </c>
      <c r="H21" s="349">
        <v>0</v>
      </c>
      <c r="I21" s="12">
        <v>10</v>
      </c>
      <c r="J21" s="339" t="str">
        <f t="shared" si="4"/>
        <v>mg</v>
      </c>
      <c r="K21" s="349" t="s">
        <v>15</v>
      </c>
      <c r="L21" s="351">
        <v>0.15</v>
      </c>
      <c r="M21" s="11" t="str">
        <f t="shared" si="5"/>
        <v/>
      </c>
      <c r="N21" s="352"/>
      <c r="O21" s="344" t="str">
        <f t="shared" si="6"/>
        <v>mg/kg</v>
      </c>
      <c r="P21" s="340">
        <f t="shared" si="7"/>
        <v>0.53</v>
      </c>
      <c r="Q21" s="9" t="str">
        <f t="shared" si="8"/>
        <v/>
      </c>
      <c r="R21" s="343" t="str">
        <f t="shared" si="9"/>
        <v/>
      </c>
      <c r="S21" s="345" t="str">
        <f t="shared" si="0"/>
        <v>mg</v>
      </c>
      <c r="T21" s="346">
        <v>2</v>
      </c>
      <c r="U21" s="340">
        <f t="shared" si="10"/>
        <v>0.11</v>
      </c>
      <c r="V21" s="9" t="str">
        <f t="shared" si="1"/>
        <v/>
      </c>
      <c r="W21" s="343" t="str">
        <f t="shared" si="11"/>
        <v/>
      </c>
      <c r="X21" s="343" t="str">
        <f t="shared" si="12"/>
        <v>mL</v>
      </c>
      <c r="Y21" s="357">
        <v>2</v>
      </c>
      <c r="Z21" s="348"/>
      <c r="AA21" s="317" t="str">
        <f t="shared" si="13"/>
        <v>0.11 mL</v>
      </c>
      <c r="AB21" s="13"/>
      <c r="AC21" s="11" t="str">
        <f>"0.15 mg/kg = "&amp;P21&amp;" mg"</f>
        <v>0.15 mg/kg = 0.53 mg</v>
      </c>
      <c r="AD21" s="12" t="str">
        <f>IFERROR(IF(Admin!$X$61="On","max = 10 mg",0),0)</f>
        <v>max = 10 mg</v>
      </c>
      <c r="AE21" s="113" t="str">
        <f t="shared" si="14"/>
        <v>No</v>
      </c>
      <c r="AF21" s="112"/>
      <c r="AG21" s="248" t="s">
        <v>462</v>
      </c>
    </row>
    <row r="22" spans="2:33" s="55" customFormat="1" ht="25" customHeight="1" x14ac:dyDescent="0.2">
      <c r="B22" s="14" t="s">
        <v>342</v>
      </c>
      <c r="C22" s="349">
        <v>2</v>
      </c>
      <c r="D22" s="338" t="s">
        <v>7</v>
      </c>
      <c r="E22" s="350">
        <v>1</v>
      </c>
      <c r="F22" s="340">
        <f t="shared" si="2"/>
        <v>2</v>
      </c>
      <c r="G22" s="341" t="str">
        <f t="shared" si="3"/>
        <v>mg /mL</v>
      </c>
      <c r="H22" s="349">
        <v>0</v>
      </c>
      <c r="I22" s="12">
        <v>2</v>
      </c>
      <c r="J22" s="339" t="str">
        <f t="shared" si="4"/>
        <v>mg</v>
      </c>
      <c r="K22" s="349" t="s">
        <v>15</v>
      </c>
      <c r="L22" s="351">
        <v>0.1</v>
      </c>
      <c r="M22" s="11" t="str">
        <f t="shared" si="5"/>
        <v/>
      </c>
      <c r="N22" s="352"/>
      <c r="O22" s="344" t="str">
        <f t="shared" si="6"/>
        <v>mg/kg</v>
      </c>
      <c r="P22" s="340">
        <f t="shared" si="7"/>
        <v>0.35</v>
      </c>
      <c r="Q22" s="9" t="str">
        <f t="shared" si="8"/>
        <v/>
      </c>
      <c r="R22" s="343" t="str">
        <f t="shared" si="9"/>
        <v/>
      </c>
      <c r="S22" s="345" t="str">
        <f t="shared" si="0"/>
        <v>mg</v>
      </c>
      <c r="T22" s="346">
        <v>2</v>
      </c>
      <c r="U22" s="340">
        <f t="shared" si="10"/>
        <v>0.18</v>
      </c>
      <c r="V22" s="9" t="str">
        <f t="shared" si="1"/>
        <v/>
      </c>
      <c r="W22" s="343" t="str">
        <f t="shared" si="11"/>
        <v/>
      </c>
      <c r="X22" s="343" t="str">
        <f t="shared" si="12"/>
        <v>mL</v>
      </c>
      <c r="Y22" s="10">
        <v>2</v>
      </c>
      <c r="Z22" s="348"/>
      <c r="AA22" s="317" t="str">
        <f t="shared" si="13"/>
        <v>0.18 mL</v>
      </c>
      <c r="AB22" s="13"/>
      <c r="AC22" s="11" t="str">
        <f>"0.1 mg/kg = "&amp;P22&amp;" mg"</f>
        <v>0.1 mg/kg = 0.35 mg</v>
      </c>
      <c r="AD22" s="12" t="str">
        <f>IFERROR(IF(Admin!$X$61="On","max = 2 mg",0),0)</f>
        <v>max = 2 mg</v>
      </c>
      <c r="AE22" s="113" t="str">
        <f t="shared" si="14"/>
        <v>No</v>
      </c>
      <c r="AF22" s="112"/>
      <c r="AG22" s="248" t="s">
        <v>462</v>
      </c>
    </row>
    <row r="23" spans="2:33" s="55" customFormat="1" ht="25" customHeight="1" x14ac:dyDescent="0.2">
      <c r="B23" s="14" t="s">
        <v>774</v>
      </c>
      <c r="C23" s="349"/>
      <c r="D23" s="338" t="s">
        <v>7</v>
      </c>
      <c r="E23" s="350"/>
      <c r="F23" s="340" t="str">
        <f t="shared" si="2"/>
        <v/>
      </c>
      <c r="G23" s="341" t="str">
        <f t="shared" si="3"/>
        <v>mg /mL</v>
      </c>
      <c r="H23" s="349">
        <v>0</v>
      </c>
      <c r="I23" s="12">
        <v>3000</v>
      </c>
      <c r="J23" s="339" t="str">
        <f t="shared" si="4"/>
        <v>mg</v>
      </c>
      <c r="K23" s="349" t="s">
        <v>15</v>
      </c>
      <c r="L23" s="351">
        <v>40</v>
      </c>
      <c r="M23" s="11" t="str">
        <f t="shared" si="5"/>
        <v/>
      </c>
      <c r="N23" s="352"/>
      <c r="O23" s="344" t="str">
        <f t="shared" si="6"/>
        <v>mg/kg</v>
      </c>
      <c r="P23" s="578">
        <f>IFERROR(MROUND(IF($L23=0,"",IF(($L23*$C$2)&lt;$H23,$H23,IF(($L23*$C$2)&gt;$I23,$I23,($L23*$C$2)))),5),"")</f>
        <v>140</v>
      </c>
      <c r="Q23" s="9" t="str">
        <f t="shared" si="8"/>
        <v/>
      </c>
      <c r="R23" s="343" t="str">
        <f t="shared" si="9"/>
        <v/>
      </c>
      <c r="S23" s="345" t="str">
        <f t="shared" si="0"/>
        <v>mg</v>
      </c>
      <c r="T23" s="346">
        <v>2</v>
      </c>
      <c r="U23" s="340" t="str">
        <f t="shared" si="10"/>
        <v/>
      </c>
      <c r="V23" s="9" t="str">
        <f t="shared" si="1"/>
        <v/>
      </c>
      <c r="W23" s="343" t="str">
        <f t="shared" si="11"/>
        <v/>
      </c>
      <c r="X23" s="343" t="str">
        <f t="shared" si="12"/>
        <v/>
      </c>
      <c r="Y23" s="10">
        <v>1</v>
      </c>
      <c r="Z23" s="348"/>
      <c r="AA23" s="577" t="str">
        <f>IF($P23&gt;=1000,ROUND(($P23/1000),1)&amp;" gram",$P23&amp;" mg")&amp;CHAR(10)&amp;" Infuse over 5 minutes"</f>
        <v>140 mg
 Infuse over 5 minutes</v>
      </c>
      <c r="AB23" s="13"/>
      <c r="AC23" s="11" t="str">
        <f>"40 mg/kg = "&amp;IF($P23&gt;=1000,ROUND(($P23/1000),1)&amp;" gram",$P23&amp;" mg")</f>
        <v>40 mg/kg = 140 mg</v>
      </c>
      <c r="AD23" s="12" t="str">
        <f>IFERROR(IF(Admin!$X$61="On","max = 3 grams",0),0)</f>
        <v>max = 3 grams</v>
      </c>
      <c r="AE23" s="113" t="str">
        <f t="shared" si="14"/>
        <v/>
      </c>
      <c r="AF23" s="112"/>
      <c r="AG23" s="248" t="s">
        <v>462</v>
      </c>
    </row>
    <row r="24" spans="2:33" s="55" customFormat="1" ht="25" customHeight="1" x14ac:dyDescent="0.2">
      <c r="B24" s="14" t="s">
        <v>781</v>
      </c>
      <c r="C24" s="349">
        <v>500</v>
      </c>
      <c r="D24" s="338" t="s">
        <v>7</v>
      </c>
      <c r="E24" s="350">
        <v>5</v>
      </c>
      <c r="F24" s="340">
        <f t="shared" si="2"/>
        <v>100</v>
      </c>
      <c r="G24" s="341" t="str">
        <f t="shared" si="3"/>
        <v>mg /mL</v>
      </c>
      <c r="H24" s="349">
        <v>0</v>
      </c>
      <c r="I24" s="12">
        <v>3000</v>
      </c>
      <c r="J24" s="339" t="str">
        <f t="shared" si="4"/>
        <v>mg</v>
      </c>
      <c r="K24" s="349" t="s">
        <v>15</v>
      </c>
      <c r="L24" s="351">
        <v>40</v>
      </c>
      <c r="M24" s="11" t="str">
        <f t="shared" si="5"/>
        <v/>
      </c>
      <c r="N24" s="352"/>
      <c r="O24" s="344" t="str">
        <f t="shared" si="6"/>
        <v>mg/kg</v>
      </c>
      <c r="P24" s="435">
        <f>IFERROR(MROUND(IF($L24=0,"",IF(($L24*$C$2)&lt;$H24,$H24,IF(($L24*$C$2)&gt;$I24,$I24,($L24*$C$2)))),5),"")</f>
        <v>140</v>
      </c>
      <c r="Q24" s="9" t="str">
        <f t="shared" si="8"/>
        <v/>
      </c>
      <c r="R24" s="343" t="str">
        <f t="shared" si="9"/>
        <v/>
      </c>
      <c r="S24" s="345" t="str">
        <f t="shared" si="0"/>
        <v>mg</v>
      </c>
      <c r="T24" s="346">
        <v>2</v>
      </c>
      <c r="U24" s="340">
        <f t="shared" si="10"/>
        <v>1.4</v>
      </c>
      <c r="V24" s="9" t="str">
        <f t="shared" si="1"/>
        <v/>
      </c>
      <c r="W24" s="343" t="str">
        <f t="shared" si="11"/>
        <v/>
      </c>
      <c r="X24" s="343" t="str">
        <f t="shared" si="12"/>
        <v>mL</v>
      </c>
      <c r="Y24" s="10">
        <v>1</v>
      </c>
      <c r="Z24" s="597">
        <f>IF(U24&lt;=5,10,ROUNDUP((2*U24),0))</f>
        <v>10</v>
      </c>
      <c r="AA24" s="273" t="str">
        <f>"Dilute "&amp;U24&amp;" mL to "&amp;Z24&amp;" mL N/S"&amp;CHAR(10)&amp;" Infuse over 5 minutes"</f>
        <v>Dilute 1.4 mL to 10 mL N/S
 Infuse over 5 minutes</v>
      </c>
      <c r="AB24" s="13"/>
      <c r="AC24" s="11" t="str">
        <f>"40 mg/kg = "&amp;IF($P24&gt;=1000,ROUND(($P24/1000),1)&amp;" gram",$P24&amp;" mg")</f>
        <v>40 mg/kg = 140 mg</v>
      </c>
      <c r="AD24" s="12" t="str">
        <f>IFERROR(IF(Admin!$X$61="On","max = 3 grams",0),0)</f>
        <v>max = 3 grams</v>
      </c>
      <c r="AE24" s="113" t="str">
        <f t="shared" si="14"/>
        <v>No</v>
      </c>
      <c r="AF24" s="112"/>
      <c r="AG24" s="417" t="s">
        <v>462</v>
      </c>
    </row>
    <row r="25" spans="2:33" s="55" customFormat="1" ht="25" customHeight="1" x14ac:dyDescent="0.2">
      <c r="B25" s="14" t="s">
        <v>773</v>
      </c>
      <c r="C25" s="349"/>
      <c r="D25" s="338" t="s">
        <v>7</v>
      </c>
      <c r="E25" s="350"/>
      <c r="F25" s="340" t="str">
        <f t="shared" si="2"/>
        <v/>
      </c>
      <c r="G25" s="341" t="str">
        <f t="shared" si="3"/>
        <v>mg /mL</v>
      </c>
      <c r="H25" s="349">
        <v>0</v>
      </c>
      <c r="I25" s="12">
        <v>1000</v>
      </c>
      <c r="J25" s="339" t="s">
        <v>7</v>
      </c>
      <c r="K25" s="349" t="s">
        <v>15</v>
      </c>
      <c r="L25" s="351">
        <v>20</v>
      </c>
      <c r="M25" s="11" t="str">
        <f t="shared" ref="M25:M26" si="24">IF(K25="Yes","to","")</f>
        <v/>
      </c>
      <c r="N25" s="352"/>
      <c r="O25" s="344" t="str">
        <f t="shared" si="6"/>
        <v>mg/kg</v>
      </c>
      <c r="P25" s="435">
        <f>IFERROR(FLOOR(IF($L25=0,"",IF(($L25*$C$2)&lt;$H25,$H25,IF(($L25*$C$2)&gt;$I25,$I25,($L25*$C$2)))),5),"")</f>
        <v>70</v>
      </c>
      <c r="Q25" s="9" t="str">
        <f t="shared" si="8"/>
        <v/>
      </c>
      <c r="R25" s="343" t="str">
        <f t="shared" ref="R25:R26" si="25">IFERROR(ROUND(IF($N25=0,"",IF(($N25*$C$2)&lt;$H25,$H25,IF(($N25*$C$2)&gt;$I25,$I25,($N25*$C$2)))),T25),"")</f>
        <v/>
      </c>
      <c r="S25" s="345" t="str">
        <f t="shared" ref="S25:S26" si="26">IF(D25="","",D25)</f>
        <v>mg</v>
      </c>
      <c r="T25" s="346">
        <v>2</v>
      </c>
      <c r="U25" s="340" t="str">
        <f t="shared" ref="U25:U26" si="27">IFERROR(ROUND(($P25/$F25),Y25),"")</f>
        <v/>
      </c>
      <c r="V25" s="9" t="str">
        <f t="shared" ref="V25:V26" si="28">M25</f>
        <v/>
      </c>
      <c r="W25" s="343" t="str">
        <f t="shared" ref="W25:W26" si="29">IFERROR(ROUND(($R25/$F25),Y25),"")</f>
        <v/>
      </c>
      <c r="X25" s="343" t="str">
        <f t="shared" ref="X25:X26" si="30">IF(U25="","","mL")</f>
        <v/>
      </c>
      <c r="Y25" s="10">
        <v>1</v>
      </c>
      <c r="Z25" s="598"/>
      <c r="AA25" s="273" t="str">
        <f>IF($P25&gt;=1000,ROUND(($P25/1000),1)&amp;" gram",$P25&amp;" mg")&amp;CHAR(10)&amp;" Infuse over 20 minutes"</f>
        <v>70 mg
 Infuse over 20 minutes</v>
      </c>
      <c r="AB25" s="13"/>
      <c r="AC25" s="11" t="str">
        <f>"20 mg/kg = "&amp;IF($P25&gt;=1000,ROUND(($P25/1000),1)&amp;" gram",$P25&amp;" mg")&amp;IF(Admin!$X$61="On"," (max = 1 gram)","")</f>
        <v>20 mg/kg = 70 mg (max = 1 gram)</v>
      </c>
      <c r="AD25" s="12" t="s">
        <v>791</v>
      </c>
      <c r="AE25" s="113" t="str">
        <f t="shared" si="14"/>
        <v/>
      </c>
      <c r="AF25" s="112"/>
      <c r="AG25" s="417" t="s">
        <v>462</v>
      </c>
    </row>
    <row r="26" spans="2:33" s="55" customFormat="1" ht="25" customHeight="1" x14ac:dyDescent="0.2">
      <c r="B26" s="14" t="s">
        <v>804</v>
      </c>
      <c r="C26" s="349">
        <v>250</v>
      </c>
      <c r="D26" s="338" t="s">
        <v>7</v>
      </c>
      <c r="E26" s="350">
        <v>5</v>
      </c>
      <c r="F26" s="340">
        <f t="shared" si="2"/>
        <v>50</v>
      </c>
      <c r="G26" s="341" t="str">
        <f t="shared" si="3"/>
        <v>mg /mL</v>
      </c>
      <c r="H26" s="349">
        <v>0</v>
      </c>
      <c r="I26" s="12">
        <v>1000</v>
      </c>
      <c r="J26" s="339" t="str">
        <f t="shared" ref="J26" si="31">IF(D26="","",D26)</f>
        <v>mg</v>
      </c>
      <c r="K26" s="349" t="s">
        <v>15</v>
      </c>
      <c r="L26" s="351">
        <v>20</v>
      </c>
      <c r="M26" s="11" t="str">
        <f t="shared" si="24"/>
        <v/>
      </c>
      <c r="N26" s="352"/>
      <c r="O26" s="344" t="str">
        <f t="shared" si="6"/>
        <v>mg/kg</v>
      </c>
      <c r="P26" s="435">
        <f>IFERROR(FLOOR(IF($L26=0,"",IF(($L26*$C$2)&lt;$H26,$H26,IF(($L26*$C$2)&gt;$I26,$I26,($L26*$C$2)))),5),"")</f>
        <v>70</v>
      </c>
      <c r="Q26" s="9" t="str">
        <f t="shared" si="8"/>
        <v/>
      </c>
      <c r="R26" s="343" t="str">
        <f t="shared" si="25"/>
        <v/>
      </c>
      <c r="S26" s="345" t="str">
        <f t="shared" si="26"/>
        <v>mg</v>
      </c>
      <c r="T26" s="346">
        <v>2</v>
      </c>
      <c r="U26" s="340">
        <f t="shared" si="27"/>
        <v>1.4</v>
      </c>
      <c r="V26" s="9" t="str">
        <f t="shared" si="28"/>
        <v/>
      </c>
      <c r="W26" s="343" t="str">
        <f t="shared" si="29"/>
        <v/>
      </c>
      <c r="X26" s="343" t="str">
        <f t="shared" si="30"/>
        <v>mL</v>
      </c>
      <c r="Y26" s="10">
        <v>1</v>
      </c>
      <c r="Z26" s="597">
        <f>ROUND((C2*4),0)</f>
        <v>14</v>
      </c>
      <c r="AA26" s="273" t="str">
        <f>"Dilute "&amp;U26&amp;" mL to "&amp;Z26&amp;" mL N/S"&amp;CHAR(10)&amp;" Infuse over "&amp;IF(P26&lt;=1000,20,30)&amp;" minutes"</f>
        <v>Dilute 1.4 mL to 14 mL N/S
 Infuse over 20 minutes</v>
      </c>
      <c r="AB26" s="13"/>
      <c r="AC26" s="11" t="str">
        <f>"20 mg/kg = "&amp;IF($P26&gt;=1000,ROUND(($P26/1000),1)&amp;" gram",$P26&amp;" mg")&amp;IF(Admin!$X$61="On"," (max = 1 gram)","")</f>
        <v>20 mg/kg = 70 mg (max = 1 gram)</v>
      </c>
      <c r="AD26" s="12" t="s">
        <v>790</v>
      </c>
      <c r="AE26" s="113" t="str">
        <f t="shared" si="14"/>
        <v>No</v>
      </c>
      <c r="AF26" s="112"/>
      <c r="AG26" s="417" t="s">
        <v>462</v>
      </c>
    </row>
    <row r="27" spans="2:33" s="55" customFormat="1" ht="25" customHeight="1" x14ac:dyDescent="0.2">
      <c r="B27" s="14" t="s">
        <v>780</v>
      </c>
      <c r="C27" s="349">
        <v>250</v>
      </c>
      <c r="D27" s="338" t="s">
        <v>7</v>
      </c>
      <c r="E27" s="350">
        <v>5</v>
      </c>
      <c r="F27" s="340">
        <f t="shared" si="2"/>
        <v>50</v>
      </c>
      <c r="G27" s="341" t="str">
        <f t="shared" si="3"/>
        <v>mg /mL</v>
      </c>
      <c r="H27" s="349">
        <v>0</v>
      </c>
      <c r="I27" s="12">
        <v>1000</v>
      </c>
      <c r="J27" s="339" t="str">
        <f t="shared" si="4"/>
        <v>mg</v>
      </c>
      <c r="K27" s="349" t="s">
        <v>15</v>
      </c>
      <c r="L27" s="351">
        <v>20</v>
      </c>
      <c r="M27" s="11" t="str">
        <f t="shared" si="5"/>
        <v/>
      </c>
      <c r="N27" s="352"/>
      <c r="O27" s="344" t="str">
        <f t="shared" si="6"/>
        <v>mg/kg</v>
      </c>
      <c r="P27" s="435">
        <f>IFERROR(FLOOR(IF($L27=0,"",IF(($L27*$C$2)&lt;$H27,$H27,IF(($L27*$C$2)&gt;$I27,$I27,($L27*$C$2)))),5),"")</f>
        <v>70</v>
      </c>
      <c r="Q27" s="9" t="str">
        <f t="shared" si="8"/>
        <v/>
      </c>
      <c r="R27" s="343" t="str">
        <f t="shared" si="9"/>
        <v/>
      </c>
      <c r="S27" s="345" t="str">
        <f t="shared" si="0"/>
        <v>mg</v>
      </c>
      <c r="T27" s="346">
        <v>2</v>
      </c>
      <c r="U27" s="340">
        <f t="shared" si="10"/>
        <v>1.4</v>
      </c>
      <c r="V27" s="9" t="str">
        <f t="shared" si="1"/>
        <v/>
      </c>
      <c r="W27" s="343" t="str">
        <f t="shared" si="11"/>
        <v/>
      </c>
      <c r="X27" s="343" t="str">
        <f t="shared" si="12"/>
        <v>mL</v>
      </c>
      <c r="Y27" s="10">
        <v>1</v>
      </c>
      <c r="Z27" s="597">
        <f>IF($C$2&lt;10,ROUND(($C$2*4),0),IF(($C$2*2)&gt;100,100,ROUND(($C$2*2),0)))</f>
        <v>14</v>
      </c>
      <c r="AA27" s="273" t="str">
        <f>"Dilute "&amp;U27&amp;" mL to "&amp;Z27&amp;" mL N/S"&amp;CHAR(10)&amp;" Infuse over "&amp;IF(P27&lt;=1000,20,30)&amp;" minutes"</f>
        <v>Dilute 1.4 mL to 14 mL N/S
 Infuse over 20 minutes</v>
      </c>
      <c r="AB27" s="13"/>
      <c r="AC27" s="11" t="str">
        <f>"20 mg/kg = "&amp;IF($P27&gt;=1000,ROUND(($P27/1000),1)&amp;" gram",$P27&amp;" mg")&amp;IF(Admin!$X$61="On"," (max = 1 gram)","")</f>
        <v>20 mg/kg = 70 mg (max = 1 gram)</v>
      </c>
      <c r="AD27" s="12" t="s">
        <v>790</v>
      </c>
      <c r="AE27" s="113" t="str">
        <f t="shared" si="14"/>
        <v>No</v>
      </c>
      <c r="AF27" s="112"/>
      <c r="AG27" s="417" t="s">
        <v>462</v>
      </c>
    </row>
    <row r="28" spans="2:33" s="55" customFormat="1" ht="25" customHeight="1" x14ac:dyDescent="0.2">
      <c r="B28" s="14" t="s">
        <v>779</v>
      </c>
      <c r="C28" s="349"/>
      <c r="D28" s="338" t="s">
        <v>7</v>
      </c>
      <c r="E28" s="350"/>
      <c r="F28" s="340" t="str">
        <f t="shared" si="2"/>
        <v/>
      </c>
      <c r="G28" s="341" t="str">
        <f t="shared" si="3"/>
        <v>mg /mL</v>
      </c>
      <c r="H28" s="349">
        <v>0</v>
      </c>
      <c r="I28" s="12">
        <v>1000</v>
      </c>
      <c r="J28" s="339" t="str">
        <f t="shared" si="4"/>
        <v>mg</v>
      </c>
      <c r="K28" s="349" t="s">
        <v>15</v>
      </c>
      <c r="L28" s="351">
        <v>20</v>
      </c>
      <c r="M28" s="11" t="str">
        <f t="shared" si="5"/>
        <v/>
      </c>
      <c r="N28" s="352"/>
      <c r="O28" s="344" t="str">
        <f t="shared" si="6"/>
        <v>mg/kg</v>
      </c>
      <c r="P28" s="435">
        <f>IFERROR(FLOOR(IF($L28=0,"",IF(($L28*$C$2)&lt;$H28,$H28,IF(($L28*$C$2)&gt;$I28,$I28,($L28*$C$2)))),5),"")</f>
        <v>70</v>
      </c>
      <c r="Q28" s="9" t="str">
        <f t="shared" si="8"/>
        <v/>
      </c>
      <c r="R28" s="343" t="str">
        <f t="shared" si="9"/>
        <v/>
      </c>
      <c r="S28" s="345" t="str">
        <f t="shared" si="0"/>
        <v>mg</v>
      </c>
      <c r="T28" s="346">
        <v>2</v>
      </c>
      <c r="U28" s="340" t="str">
        <f t="shared" si="10"/>
        <v/>
      </c>
      <c r="V28" s="9" t="str">
        <f t="shared" si="1"/>
        <v/>
      </c>
      <c r="W28" s="343" t="str">
        <f t="shared" si="11"/>
        <v/>
      </c>
      <c r="X28" s="343" t="str">
        <f t="shared" si="12"/>
        <v/>
      </c>
      <c r="Y28" s="10">
        <v>1</v>
      </c>
      <c r="Z28" s="348"/>
      <c r="AA28" s="577" t="str">
        <f>IF($P28&gt;=1000,ROUND(($P28/1000),1)&amp;" gram",$P28&amp;" mg")&amp;CHAR(10)&amp;" Infuse over 20 minutes"</f>
        <v>70 mg
 Infuse over 20 minutes</v>
      </c>
      <c r="AB28" s="13"/>
      <c r="AC28" s="11" t="str">
        <f>"20 mg/kg = "&amp;IF($P28&gt;=1000,ROUND(($P28/1000),1)&amp;" gram",$P28&amp;" mg")</f>
        <v>20 mg/kg = 70 mg</v>
      </c>
      <c r="AD28" s="12" t="str">
        <f>IFERROR(IF(Admin!$X$61="On","max = 1 gram",0),0)</f>
        <v>max = 1 gram</v>
      </c>
      <c r="AE28" s="113" t="str">
        <f t="shared" si="14"/>
        <v/>
      </c>
      <c r="AF28" s="112"/>
      <c r="AG28" s="417" t="s">
        <v>332</v>
      </c>
    </row>
    <row r="29" spans="2:33" s="55" customFormat="1" ht="25" customHeight="1" x14ac:dyDescent="0.2">
      <c r="B29" s="14" t="s">
        <v>778</v>
      </c>
      <c r="C29" s="349">
        <v>200</v>
      </c>
      <c r="D29" s="338" t="s">
        <v>7</v>
      </c>
      <c r="E29" s="350">
        <v>1</v>
      </c>
      <c r="F29" s="340">
        <f t="shared" si="2"/>
        <v>200</v>
      </c>
      <c r="G29" s="341" t="str">
        <f t="shared" si="3"/>
        <v>mg /mL</v>
      </c>
      <c r="H29" s="349">
        <v>0</v>
      </c>
      <c r="I29" s="12">
        <v>1000</v>
      </c>
      <c r="J29" s="339" t="str">
        <f t="shared" ref="J29" si="32">IF(D29="","",D29)</f>
        <v>mg</v>
      </c>
      <c r="K29" s="349" t="s">
        <v>15</v>
      </c>
      <c r="L29" s="351">
        <v>20</v>
      </c>
      <c r="M29" s="11" t="str">
        <f t="shared" ref="M29" si="33">IF(K29="Yes","to","")</f>
        <v/>
      </c>
      <c r="N29" s="352"/>
      <c r="O29" s="344" t="str">
        <f t="shared" si="6"/>
        <v>mg/kg</v>
      </c>
      <c r="P29" s="435">
        <f>IFERROR(FLOOR(IF($L29=0,"",IF(($L29*$C$2)&lt;$H29,$H29,IF(($L29*$C$2)&gt;$I29,$I29,($L29*$C$2)))),5),"")</f>
        <v>70</v>
      </c>
      <c r="Q29" s="9" t="str">
        <f t="shared" si="8"/>
        <v/>
      </c>
      <c r="R29" s="343" t="str">
        <f t="shared" ref="R29" si="34">IFERROR(ROUND(IF($N29=0,"",IF(($N29*$C$2)&lt;$H29,$H29,IF(($N29*$C$2)&gt;$I29,$I29,($N29*$C$2)))),T29),"")</f>
        <v/>
      </c>
      <c r="S29" s="345" t="str">
        <f t="shared" ref="S29" si="35">IF(D29="","",D29)</f>
        <v>mg</v>
      </c>
      <c r="T29" s="346">
        <v>2</v>
      </c>
      <c r="U29" s="340">
        <f t="shared" ref="U29" si="36">IFERROR(ROUND(($P29/$F29),Y29),"")</f>
        <v>0.4</v>
      </c>
      <c r="V29" s="9" t="str">
        <f t="shared" ref="V29" si="37">M29</f>
        <v/>
      </c>
      <c r="W29" s="343" t="str">
        <f t="shared" ref="W29" si="38">IFERROR(ROUND(($R29/$F29),Y29),"")</f>
        <v/>
      </c>
      <c r="X29" s="343" t="str">
        <f t="shared" ref="X29" si="39">IF(U29="","","mL")</f>
        <v>mL</v>
      </c>
      <c r="Y29" s="10">
        <v>1</v>
      </c>
      <c r="Z29" s="597">
        <f>ROUNDUP((U29*10),0)</f>
        <v>4</v>
      </c>
      <c r="AA29" s="577" t="str">
        <f>"Dilute "&amp;U29&amp;" mL to "&amp;Z29&amp;" mL N/S"&amp;CHAR(10)&amp;" Infuse over "&amp;IF(P29&lt;=1000,20,30)&amp;" minutes"</f>
        <v>Dilute 0.4 mL to 4 mL N/S
 Infuse over 20 minutes</v>
      </c>
      <c r="AB29" s="13"/>
      <c r="AC29" s="11" t="str">
        <f>"20 mg/kg = "&amp;IF($P29&gt;=1000,ROUND(($P29/1000),1)&amp;" gram",$P29&amp;" mg")</f>
        <v>20 mg/kg = 70 mg</v>
      </c>
      <c r="AD29" s="12" t="str">
        <f>IFERROR(IF(Admin!$X$61="On","max = 1 gram",0),0)</f>
        <v>max = 1 gram</v>
      </c>
      <c r="AE29" s="113" t="str">
        <f t="shared" si="14"/>
        <v>No</v>
      </c>
      <c r="AF29" s="112"/>
      <c r="AG29" s="417"/>
    </row>
    <row r="30" spans="2:33" s="55" customFormat="1" ht="25" customHeight="1" x14ac:dyDescent="0.2">
      <c r="B30" s="14" t="s">
        <v>782</v>
      </c>
      <c r="C30" s="349"/>
      <c r="D30" s="338" t="s">
        <v>7</v>
      </c>
      <c r="E30" s="350"/>
      <c r="F30" s="340" t="str">
        <f t="shared" si="2"/>
        <v/>
      </c>
      <c r="G30" s="341" t="str">
        <f t="shared" si="3"/>
        <v>mg /mL</v>
      </c>
      <c r="H30" s="349">
        <v>0</v>
      </c>
      <c r="I30" s="12">
        <v>1200</v>
      </c>
      <c r="J30" s="339" t="s">
        <v>7</v>
      </c>
      <c r="K30" s="349" t="s">
        <v>15</v>
      </c>
      <c r="L30" s="351">
        <v>40</v>
      </c>
      <c r="M30" s="11" t="str">
        <f t="shared" si="5"/>
        <v/>
      </c>
      <c r="N30" s="352"/>
      <c r="O30" s="344" t="str">
        <f t="shared" si="6"/>
        <v>mg/kg</v>
      </c>
      <c r="P30" s="435">
        <f>IFERROR(MROUND(IF($L30=0,"",IF(($L30*$C$2)&lt;$H30,$H30,IF(($L30*$C$2)&gt;$I30,$I30,($L30*$C$2)))),5),"")</f>
        <v>140</v>
      </c>
      <c r="Q30" s="9" t="str">
        <f t="shared" si="8"/>
        <v/>
      </c>
      <c r="R30" s="343" t="str">
        <f t="shared" si="9"/>
        <v/>
      </c>
      <c r="S30" s="345" t="str">
        <f t="shared" si="0"/>
        <v>mg</v>
      </c>
      <c r="T30" s="346">
        <v>2</v>
      </c>
      <c r="U30" s="340" t="str">
        <f t="shared" si="10"/>
        <v/>
      </c>
      <c r="V30" s="9" t="str">
        <f t="shared" si="1"/>
        <v/>
      </c>
      <c r="W30" s="343" t="str">
        <f t="shared" si="11"/>
        <v/>
      </c>
      <c r="X30" s="343" t="str">
        <f t="shared" si="12"/>
        <v/>
      </c>
      <c r="Y30" s="10">
        <v>1</v>
      </c>
      <c r="Z30" s="348"/>
      <c r="AA30" s="273" t="str">
        <f>IF($P30&gt;=1000,ROUND(($P30/1000),1)&amp;" gram",$P30&amp;" mg")&amp;CHAR(10)&amp;" Infuse over 10 minutes"</f>
        <v>140 mg
 Infuse over 10 minutes</v>
      </c>
      <c r="AB30" s="13"/>
      <c r="AC30" s="11" t="str">
        <f>"40 mg/kg = "&amp;IF($P30&gt;=1000,ROUND(($P30/1000),1)&amp;" gram",$P30&amp;" mg")</f>
        <v>40 mg/kg = 140 mg</v>
      </c>
      <c r="AD30" s="12" t="str">
        <f>IFERROR(IF(Admin!$X$61="On","max = 1.2 gram",0),0)</f>
        <v>max = 1.2 gram</v>
      </c>
      <c r="AE30" s="113" t="str">
        <f t="shared" si="14"/>
        <v/>
      </c>
      <c r="AF30" s="112"/>
      <c r="AG30" s="417" t="s">
        <v>463</v>
      </c>
    </row>
    <row r="31" spans="2:33" s="55" customFormat="1" ht="25" customHeight="1" x14ac:dyDescent="0.2">
      <c r="B31" s="14" t="s">
        <v>783</v>
      </c>
      <c r="C31" s="349">
        <v>100</v>
      </c>
      <c r="D31" s="338" t="s">
        <v>7</v>
      </c>
      <c r="E31" s="350">
        <v>1</v>
      </c>
      <c r="F31" s="340">
        <f t="shared" si="2"/>
        <v>100</v>
      </c>
      <c r="G31" s="341" t="str">
        <f t="shared" si="3"/>
        <v>mg /mL</v>
      </c>
      <c r="H31" s="349">
        <v>0</v>
      </c>
      <c r="I31" s="12">
        <v>1200</v>
      </c>
      <c r="J31" s="339" t="str">
        <f t="shared" ref="J31" si="40">IF(D31="","",D31)</f>
        <v>mg</v>
      </c>
      <c r="K31" s="349" t="s">
        <v>15</v>
      </c>
      <c r="L31" s="351">
        <v>40</v>
      </c>
      <c r="M31" s="11" t="str">
        <f t="shared" si="5"/>
        <v/>
      </c>
      <c r="N31" s="352"/>
      <c r="O31" s="344" t="str">
        <f t="shared" si="6"/>
        <v>mg/kg</v>
      </c>
      <c r="P31" s="435">
        <f>IFERROR(MROUND(IF($L31=0,"",IF(($L31*$C$2)&lt;$H31,$H31,IF(($L31*$C$2)&gt;$I31,$I31,($L31*$C$2)))),5),"")</f>
        <v>140</v>
      </c>
      <c r="Q31" s="9" t="str">
        <f t="shared" si="8"/>
        <v/>
      </c>
      <c r="R31" s="343" t="str">
        <f t="shared" si="9"/>
        <v/>
      </c>
      <c r="S31" s="345" t="str">
        <f t="shared" si="0"/>
        <v>mg</v>
      </c>
      <c r="T31" s="346">
        <v>2</v>
      </c>
      <c r="U31" s="340">
        <f t="shared" si="10"/>
        <v>1.4</v>
      </c>
      <c r="V31" s="9" t="str">
        <f t="shared" si="1"/>
        <v/>
      </c>
      <c r="W31" s="343" t="str">
        <f t="shared" si="11"/>
        <v/>
      </c>
      <c r="X31" s="343" t="str">
        <f t="shared" si="12"/>
        <v>mL</v>
      </c>
      <c r="Y31" s="10">
        <v>1</v>
      </c>
      <c r="Z31" s="597">
        <f>ROUNDUP((U31*2),0)</f>
        <v>3</v>
      </c>
      <c r="AA31" s="273" t="str">
        <f>"Dilute "&amp;U31&amp;" mL to "&amp;Z31&amp;" mL N/S"&amp;CHAR(10)&amp;" Infuse over 10 minutes"</f>
        <v>Dilute 1.4 mL to 3 mL N/S
 Infuse over 10 minutes</v>
      </c>
      <c r="AB31" s="13"/>
      <c r="AC31" s="11" t="str">
        <f>"40 mg/kg = "&amp;IF($P31&gt;=1000,ROUND(($P31/1000),1)&amp;" gram",$P31&amp;" mg")</f>
        <v>40 mg/kg = 140 mg</v>
      </c>
      <c r="AD31" s="12" t="str">
        <f>IFERROR(IF(Admin!$X$61="On","max = 1.2 gram",0),0)</f>
        <v>max = 1.2 gram</v>
      </c>
      <c r="AE31" s="113" t="str">
        <f t="shared" si="14"/>
        <v>No</v>
      </c>
      <c r="AF31" s="112"/>
      <c r="AG31" s="417" t="s">
        <v>463</v>
      </c>
    </row>
    <row r="32" spans="2:33" s="55" customFormat="1" ht="25" customHeight="1" x14ac:dyDescent="0.2">
      <c r="B32" s="14" t="s">
        <v>256</v>
      </c>
      <c r="C32" s="349">
        <v>15</v>
      </c>
      <c r="D32" s="338" t="s">
        <v>7</v>
      </c>
      <c r="E32" s="350">
        <v>3</v>
      </c>
      <c r="F32" s="340">
        <f t="shared" si="2"/>
        <v>5</v>
      </c>
      <c r="G32" s="341" t="str">
        <f t="shared" si="3"/>
        <v>mg /mL</v>
      </c>
      <c r="H32" s="349">
        <v>0</v>
      </c>
      <c r="I32" s="12">
        <v>10</v>
      </c>
      <c r="J32" s="339" t="str">
        <f t="shared" si="4"/>
        <v>mg</v>
      </c>
      <c r="K32" s="349" t="s">
        <v>15</v>
      </c>
      <c r="L32" s="351">
        <v>0.2</v>
      </c>
      <c r="M32" s="11" t="str">
        <f t="shared" si="5"/>
        <v/>
      </c>
      <c r="N32" s="352"/>
      <c r="O32" s="344" t="str">
        <f t="shared" si="6"/>
        <v>mg/kg</v>
      </c>
      <c r="P32" s="340">
        <f t="shared" si="7"/>
        <v>0.7</v>
      </c>
      <c r="Q32" s="9" t="str">
        <f t="shared" si="8"/>
        <v/>
      </c>
      <c r="R32" s="343" t="str">
        <f t="shared" si="9"/>
        <v/>
      </c>
      <c r="S32" s="345" t="str">
        <f t="shared" si="0"/>
        <v>mg</v>
      </c>
      <c r="T32" s="346">
        <v>2</v>
      </c>
      <c r="U32" s="340">
        <f t="shared" si="10"/>
        <v>0.14000000000000001</v>
      </c>
      <c r="V32" s="9" t="str">
        <f t="shared" si="1"/>
        <v/>
      </c>
      <c r="W32" s="343" t="str">
        <f t="shared" si="11"/>
        <v/>
      </c>
      <c r="X32" s="343" t="str">
        <f t="shared" si="12"/>
        <v>mL</v>
      </c>
      <c r="Y32" s="357">
        <f>IF(C2&lt;10,2,1)</f>
        <v>2</v>
      </c>
      <c r="Z32" s="348"/>
      <c r="AA32" s="317" t="str">
        <f>IF($U32="","",IF($K32="Yes",$U32&amp;" - "&amp;$W32&amp;" mL",$U32&amp;" mL"))&amp;" INTRAMUSCULAR"</f>
        <v>0.14 mL INTRAMUSCULAR</v>
      </c>
      <c r="AB32" s="13" t="s">
        <v>723</v>
      </c>
      <c r="AC32" s="11" t="str">
        <f>"0.2 mg/kg = "&amp;P32&amp;" mg"</f>
        <v>0.2 mg/kg = 0.7 mg</v>
      </c>
      <c r="AD32" s="12" t="str">
        <f>IFERROR(IF(Admin!$X$61="On","max = 10 mg",0),0)</f>
        <v>max = 10 mg</v>
      </c>
      <c r="AE32" s="113" t="str">
        <f t="shared" si="14"/>
        <v>No</v>
      </c>
      <c r="AF32" s="112"/>
      <c r="AG32" s="248" t="s">
        <v>462</v>
      </c>
    </row>
    <row r="33" spans="2:33" s="55" customFormat="1" ht="25" customHeight="1" x14ac:dyDescent="0.2">
      <c r="B33" s="14"/>
      <c r="C33" s="349"/>
      <c r="D33" s="338"/>
      <c r="E33" s="350"/>
      <c r="F33" s="340"/>
      <c r="G33" s="341"/>
      <c r="H33" s="349"/>
      <c r="I33" s="12"/>
      <c r="J33" s="339"/>
      <c r="K33" s="349"/>
      <c r="L33" s="351"/>
      <c r="M33" s="11"/>
      <c r="N33" s="352"/>
      <c r="O33" s="344"/>
      <c r="P33" s="340"/>
      <c r="Q33" s="9"/>
      <c r="R33" s="343"/>
      <c r="S33" s="345"/>
      <c r="T33" s="346"/>
      <c r="U33" s="340"/>
      <c r="V33" s="9"/>
      <c r="W33" s="343"/>
      <c r="X33" s="343"/>
      <c r="Y33" s="10"/>
      <c r="Z33" s="348"/>
      <c r="AA33" s="317"/>
      <c r="AB33" s="13"/>
      <c r="AC33" s="11"/>
      <c r="AD33" s="12"/>
      <c r="AE33" s="113"/>
      <c r="AF33" s="112"/>
      <c r="AG33" s="248"/>
    </row>
    <row r="34" spans="2:33" s="55" customFormat="1" ht="25" customHeight="1" x14ac:dyDescent="0.2">
      <c r="B34" s="14" t="s">
        <v>123</v>
      </c>
      <c r="C34" s="349">
        <v>100</v>
      </c>
      <c r="D34" s="338" t="s">
        <v>8</v>
      </c>
      <c r="E34" s="350">
        <v>2</v>
      </c>
      <c r="F34" s="340">
        <f t="shared" si="2"/>
        <v>50</v>
      </c>
      <c r="G34" s="341" t="str">
        <f t="shared" si="3"/>
        <v>micrograms /mL</v>
      </c>
      <c r="H34" s="349">
        <v>0</v>
      </c>
      <c r="I34" s="12">
        <v>500</v>
      </c>
      <c r="J34" s="339" t="str">
        <f t="shared" si="4"/>
        <v>micrograms</v>
      </c>
      <c r="K34" s="349" t="s">
        <v>14</v>
      </c>
      <c r="L34" s="351">
        <v>2</v>
      </c>
      <c r="M34" s="11" t="str">
        <f t="shared" si="5"/>
        <v>to</v>
      </c>
      <c r="N34" s="352">
        <v>5</v>
      </c>
      <c r="O34" s="344" t="str">
        <f t="shared" si="6"/>
        <v>micrograms/kg</v>
      </c>
      <c r="P34" s="340">
        <f t="shared" si="7"/>
        <v>7</v>
      </c>
      <c r="Q34" s="9" t="str">
        <f t="shared" si="8"/>
        <v>to</v>
      </c>
      <c r="R34" s="343">
        <f t="shared" si="9"/>
        <v>17.5</v>
      </c>
      <c r="S34" s="345" t="str">
        <f t="shared" si="0"/>
        <v>micrograms</v>
      </c>
      <c r="T34" s="346">
        <v>2</v>
      </c>
      <c r="U34" s="340">
        <f t="shared" si="10"/>
        <v>0.1</v>
      </c>
      <c r="V34" s="9" t="str">
        <f t="shared" si="1"/>
        <v>to</v>
      </c>
      <c r="W34" s="343">
        <f t="shared" si="11"/>
        <v>0.4</v>
      </c>
      <c r="X34" s="343" t="str">
        <f t="shared" si="12"/>
        <v>mL</v>
      </c>
      <c r="Y34" s="10">
        <v>1</v>
      </c>
      <c r="Z34" s="348"/>
      <c r="AA34" s="317" t="str">
        <f t="shared" si="13"/>
        <v>0.1 - 0.4 mL</v>
      </c>
      <c r="AB34" s="13" t="s">
        <v>282</v>
      </c>
      <c r="AC34" s="11" t="str">
        <f>"2-5 mcg/kg = "&amp;P34&amp;" - "&amp;R34&amp;" micrograms"</f>
        <v>2-5 mcg/kg = 7 - 17.5 micrograms</v>
      </c>
      <c r="AD34" s="12" t="str">
        <f>IFERROR(IF(Admin!$X$61="On","max = 500 micrograms",0),0)</f>
        <v>max = 500 micrograms</v>
      </c>
      <c r="AE34" s="113" t="str">
        <f t="shared" si="14"/>
        <v>No</v>
      </c>
      <c r="AF34" s="112"/>
      <c r="AG34" s="248"/>
    </row>
    <row r="35" spans="2:33" s="55" customFormat="1" ht="25" customHeight="1" x14ac:dyDescent="0.2">
      <c r="B35" s="14" t="s">
        <v>548</v>
      </c>
      <c r="C35" s="349">
        <v>200</v>
      </c>
      <c r="D35" s="338" t="s">
        <v>7</v>
      </c>
      <c r="E35" s="350">
        <v>20</v>
      </c>
      <c r="F35" s="340">
        <f t="shared" si="2"/>
        <v>10</v>
      </c>
      <c r="G35" s="341" t="str">
        <f t="shared" si="3"/>
        <v>mg /mL</v>
      </c>
      <c r="H35" s="349">
        <v>0</v>
      </c>
      <c r="I35" s="12">
        <v>200</v>
      </c>
      <c r="J35" s="339" t="str">
        <f t="shared" ref="J35" si="41">IF(D35="","",D35)</f>
        <v>mg</v>
      </c>
      <c r="K35" s="349" t="s">
        <v>14</v>
      </c>
      <c r="L35" s="351">
        <v>1</v>
      </c>
      <c r="M35" s="11" t="str">
        <f t="shared" ref="M35" si="42">IF(K35="Yes","to","")</f>
        <v>to</v>
      </c>
      <c r="N35" s="352">
        <v>2</v>
      </c>
      <c r="O35" s="344" t="str">
        <f t="shared" si="6"/>
        <v>mg/kg</v>
      </c>
      <c r="P35" s="340">
        <f t="shared" ref="P35" si="43">IFERROR(ROUND(IF($L35=0,"",IF(($L35*$C$2)&lt;$H35,$H35,IF(($L35*$C$2)&gt;$I35,$I35,($L35*$C$2)))),T35),"")</f>
        <v>3.5</v>
      </c>
      <c r="Q35" s="9" t="str">
        <f t="shared" si="8"/>
        <v>to</v>
      </c>
      <c r="R35" s="343">
        <f t="shared" ref="R35" si="44">IFERROR(ROUND(IF($N35=0,"",IF(($N35*$C$2)&lt;$H35,$H35,IF(($N35*$C$2)&gt;$I35,$I35,($N35*$C$2)))),T35),"")</f>
        <v>7</v>
      </c>
      <c r="S35" s="345" t="str">
        <f t="shared" ref="S35" si="45">IF(D35="","",D35)</f>
        <v>mg</v>
      </c>
      <c r="T35" s="346">
        <v>2</v>
      </c>
      <c r="U35" s="340">
        <f t="shared" ref="U35" si="46">IFERROR(ROUND(($P35/$F35),Y35),"")</f>
        <v>0.4</v>
      </c>
      <c r="V35" s="9" t="str">
        <f t="shared" ref="V35" si="47">M35</f>
        <v>to</v>
      </c>
      <c r="W35" s="343">
        <f t="shared" ref="W35" si="48">IFERROR(ROUND(($R35/$F35),Y35),"")</f>
        <v>0.7</v>
      </c>
      <c r="X35" s="343" t="str">
        <f t="shared" ref="X35" si="49">IF(U35="","","mL")</f>
        <v>mL</v>
      </c>
      <c r="Y35" s="10">
        <v>1</v>
      </c>
      <c r="Z35" s="348"/>
      <c r="AA35" s="577" t="str">
        <f>IF($C$2&gt;=50,"Dilute 2 mL vial to 20 mL N/S","Dilute 1 mL to 10 mL N/S")&amp;CHAR(10)&amp;" DOSE: "&amp;U35&amp;" - "&amp;W35&amp;" mL of dilution"</f>
        <v>Dilute 1 mL to 10 mL N/S
 DOSE: 0.4 - 0.7 mL of dilution</v>
      </c>
      <c r="AB35" s="13" t="s">
        <v>684</v>
      </c>
      <c r="AC35" s="11" t="str">
        <f>"1-2 mg/kg = "&amp;P35&amp;" - "&amp;R35&amp;" mg"</f>
        <v>1-2 mg/kg = 3.5 - 7 mg</v>
      </c>
      <c r="AD35" s="12" t="str">
        <f>IFERROR(IF(Admin!$X$61="On","max = 200 mg",0),0)</f>
        <v>max = 200 mg</v>
      </c>
      <c r="AE35" s="113" t="str">
        <f t="shared" si="14"/>
        <v>No</v>
      </c>
      <c r="AF35" s="112"/>
      <c r="AG35" s="248"/>
    </row>
    <row r="36" spans="2:33" s="55" customFormat="1" ht="25" customHeight="1" x14ac:dyDescent="0.2">
      <c r="B36" s="14" t="s">
        <v>4</v>
      </c>
      <c r="C36" s="349">
        <v>100</v>
      </c>
      <c r="D36" s="338" t="s">
        <v>7</v>
      </c>
      <c r="E36" s="350">
        <v>10</v>
      </c>
      <c r="F36" s="340">
        <f t="shared" si="2"/>
        <v>10</v>
      </c>
      <c r="G36" s="341" t="str">
        <f t="shared" si="3"/>
        <v>mg /mL</v>
      </c>
      <c r="H36" s="349">
        <v>0</v>
      </c>
      <c r="I36" s="12">
        <v>200</v>
      </c>
      <c r="J36" s="339" t="str">
        <f t="shared" si="4"/>
        <v>mg</v>
      </c>
      <c r="K36" s="349" t="s">
        <v>14</v>
      </c>
      <c r="L36" s="351">
        <v>1</v>
      </c>
      <c r="M36" s="11" t="str">
        <f t="shared" si="5"/>
        <v>to</v>
      </c>
      <c r="N36" s="352">
        <v>2</v>
      </c>
      <c r="O36" s="344" t="str">
        <f t="shared" si="6"/>
        <v>mg/kg</v>
      </c>
      <c r="P36" s="340">
        <f t="shared" si="7"/>
        <v>3.5</v>
      </c>
      <c r="Q36" s="9" t="str">
        <f t="shared" si="8"/>
        <v>to</v>
      </c>
      <c r="R36" s="343">
        <f t="shared" si="9"/>
        <v>7</v>
      </c>
      <c r="S36" s="345" t="str">
        <f t="shared" si="0"/>
        <v>mg</v>
      </c>
      <c r="T36" s="346">
        <v>2</v>
      </c>
      <c r="U36" s="340">
        <f t="shared" si="10"/>
        <v>0.4</v>
      </c>
      <c r="V36" s="9" t="str">
        <f t="shared" si="1"/>
        <v>to</v>
      </c>
      <c r="W36" s="343">
        <f t="shared" si="11"/>
        <v>0.7</v>
      </c>
      <c r="X36" s="343" t="str">
        <f t="shared" si="12"/>
        <v>mL</v>
      </c>
      <c r="Y36" s="10">
        <v>1</v>
      </c>
      <c r="Z36" s="348"/>
      <c r="AA36" s="317" t="str">
        <f t="shared" si="13"/>
        <v>0.4 - 0.7 mL</v>
      </c>
      <c r="AB36" s="13" t="s">
        <v>288</v>
      </c>
      <c r="AC36" s="11" t="str">
        <f>"1-2 mg/kg = "&amp;P36&amp;" - "&amp;R36&amp;" mg"</f>
        <v>1-2 mg/kg = 3.5 - 7 mg</v>
      </c>
      <c r="AD36" s="12" t="str">
        <f>IFERROR(IF(Admin!$X$61="On","max = 200 mg",0),0)</f>
        <v>max = 200 mg</v>
      </c>
      <c r="AE36" s="113" t="str">
        <f t="shared" si="14"/>
        <v>No</v>
      </c>
      <c r="AF36" s="112"/>
      <c r="AG36" s="248"/>
    </row>
    <row r="37" spans="2:33" s="55" customFormat="1" ht="25" customHeight="1" x14ac:dyDescent="0.2">
      <c r="B37" s="14" t="s">
        <v>124</v>
      </c>
      <c r="C37" s="349">
        <v>200</v>
      </c>
      <c r="D37" s="338" t="s">
        <v>7</v>
      </c>
      <c r="E37" s="350">
        <v>20</v>
      </c>
      <c r="F37" s="340">
        <f t="shared" si="2"/>
        <v>10</v>
      </c>
      <c r="G37" s="341" t="str">
        <f t="shared" si="3"/>
        <v>mg /mL</v>
      </c>
      <c r="H37" s="349">
        <v>0</v>
      </c>
      <c r="I37" s="12">
        <v>200</v>
      </c>
      <c r="J37" s="339" t="str">
        <f t="shared" si="4"/>
        <v>mg</v>
      </c>
      <c r="K37" s="349" t="s">
        <v>14</v>
      </c>
      <c r="L37" s="351">
        <v>1</v>
      </c>
      <c r="M37" s="11" t="str">
        <f t="shared" si="5"/>
        <v>to</v>
      </c>
      <c r="N37" s="352">
        <v>3</v>
      </c>
      <c r="O37" s="344" t="str">
        <f t="shared" si="6"/>
        <v>mg/kg</v>
      </c>
      <c r="P37" s="340">
        <f t="shared" si="7"/>
        <v>3.5</v>
      </c>
      <c r="Q37" s="9" t="str">
        <f t="shared" si="8"/>
        <v>to</v>
      </c>
      <c r="R37" s="343">
        <f t="shared" si="9"/>
        <v>10.5</v>
      </c>
      <c r="S37" s="345" t="str">
        <f t="shared" si="0"/>
        <v>mg</v>
      </c>
      <c r="T37" s="346">
        <v>2</v>
      </c>
      <c r="U37" s="340">
        <f t="shared" si="10"/>
        <v>0.4</v>
      </c>
      <c r="V37" s="9" t="str">
        <f t="shared" si="1"/>
        <v>to</v>
      </c>
      <c r="W37" s="343">
        <f t="shared" si="11"/>
        <v>1.1000000000000001</v>
      </c>
      <c r="X37" s="343" t="str">
        <f t="shared" si="12"/>
        <v>mL</v>
      </c>
      <c r="Y37" s="10">
        <v>1</v>
      </c>
      <c r="Z37" s="348"/>
      <c r="AA37" s="317" t="str">
        <f t="shared" si="13"/>
        <v>0.4 - 1.1 mL</v>
      </c>
      <c r="AB37" s="13" t="s">
        <v>445</v>
      </c>
      <c r="AC37" s="11" t="str">
        <f>"1-3 mg/kg = "&amp;P37&amp;" - "&amp;R37&amp;" mg"</f>
        <v>1-3 mg/kg = 3.5 - 10.5 mg</v>
      </c>
      <c r="AD37" s="12" t="str">
        <f>IFERROR(IF(Admin!$X$61="On","max = 200 mg",0),0)</f>
        <v>max = 200 mg</v>
      </c>
      <c r="AE37" s="113" t="str">
        <f t="shared" si="14"/>
        <v>No</v>
      </c>
      <c r="AF37" s="112"/>
      <c r="AG37" s="248"/>
    </row>
    <row r="38" spans="2:33" s="55" customFormat="1" ht="25" customHeight="1" x14ac:dyDescent="0.2">
      <c r="B38" s="14" t="s">
        <v>547</v>
      </c>
      <c r="C38" s="349">
        <v>4</v>
      </c>
      <c r="D38" s="338" t="s">
        <v>7</v>
      </c>
      <c r="E38" s="350">
        <v>2</v>
      </c>
      <c r="F38" s="340">
        <f t="shared" si="2"/>
        <v>2</v>
      </c>
      <c r="G38" s="341" t="str">
        <f t="shared" si="3"/>
        <v>mg /mL</v>
      </c>
      <c r="H38" s="349">
        <v>0</v>
      </c>
      <c r="I38" s="12">
        <v>8</v>
      </c>
      <c r="J38" s="339" t="str">
        <f t="shared" ref="J38" si="50">IF(D38="","",D38)</f>
        <v>mg</v>
      </c>
      <c r="K38" s="349" t="s">
        <v>15</v>
      </c>
      <c r="L38" s="351">
        <v>0.1</v>
      </c>
      <c r="M38" s="11" t="str">
        <f t="shared" ref="M38" si="51">IF(K38="Yes","to","")</f>
        <v/>
      </c>
      <c r="N38" s="352"/>
      <c r="O38" s="344" t="str">
        <f t="shared" si="6"/>
        <v>mg/kg</v>
      </c>
      <c r="P38" s="340">
        <f t="shared" ref="P38" si="52">IFERROR(ROUND(IF($L38=0,"",IF(($L38*$C$2)&lt;$H38,$H38,IF(($L38*$C$2)&gt;$I38,$I38,($L38*$C$2)))),T38),"")</f>
        <v>0.35</v>
      </c>
      <c r="Q38" s="9" t="str">
        <f t="shared" si="8"/>
        <v/>
      </c>
      <c r="R38" s="343" t="str">
        <f t="shared" ref="R38" si="53">IFERROR(ROUND(IF($N38=0,"",IF(($N38*$C$2)&lt;$H38,$H38,IF(($N38*$C$2)&gt;$I38,$I38,($N38*$C$2)))),T38),"")</f>
        <v/>
      </c>
      <c r="S38" s="345" t="str">
        <f t="shared" ref="S38" si="54">IF(D38="","",D38)</f>
        <v>mg</v>
      </c>
      <c r="T38" s="346">
        <v>2</v>
      </c>
      <c r="U38" s="340">
        <f t="shared" ref="U38" si="55">IFERROR(ROUND(($P38/$F38),Y38),"")</f>
        <v>0.18</v>
      </c>
      <c r="V38" s="9" t="str">
        <f t="shared" ref="V38" si="56">M38</f>
        <v/>
      </c>
      <c r="W38" s="343" t="str">
        <f t="shared" ref="W38" si="57">IFERROR(ROUND(($R38/$F38),Y38),"")</f>
        <v/>
      </c>
      <c r="X38" s="343" t="str">
        <f t="shared" ref="X38" si="58">IF(U38="","","mL")</f>
        <v>mL</v>
      </c>
      <c r="Y38" s="10">
        <v>2</v>
      </c>
      <c r="Z38" s="348"/>
      <c r="AA38" s="317" t="str">
        <f t="shared" si="13"/>
        <v>0.18 mL</v>
      </c>
      <c r="AB38" s="13"/>
      <c r="AC38" s="11" t="str">
        <f>"0.1 mg/kg = "&amp;P38&amp;" mg"</f>
        <v>0.1 mg/kg = 0.35 mg</v>
      </c>
      <c r="AD38" s="12" t="str">
        <f>IFERROR(IF(Admin!$X$61="On","max = 8 mg",0),0)</f>
        <v>max = 8 mg</v>
      </c>
      <c r="AE38" s="113" t="str">
        <f t="shared" si="14"/>
        <v>No</v>
      </c>
      <c r="AF38" s="112"/>
      <c r="AG38" s="248"/>
    </row>
    <row r="39" spans="2:33" s="55" customFormat="1" ht="25" customHeight="1" x14ac:dyDescent="0.2">
      <c r="B39" s="14" t="s">
        <v>125</v>
      </c>
      <c r="C39" s="349">
        <v>50</v>
      </c>
      <c r="D39" s="338" t="s">
        <v>7</v>
      </c>
      <c r="E39" s="350">
        <v>5</v>
      </c>
      <c r="F39" s="340">
        <f t="shared" si="2"/>
        <v>10</v>
      </c>
      <c r="G39" s="341" t="str">
        <f t="shared" si="3"/>
        <v>mg /mL</v>
      </c>
      <c r="H39" s="349">
        <v>0</v>
      </c>
      <c r="I39" s="12">
        <v>200</v>
      </c>
      <c r="J39" s="339" t="str">
        <f t="shared" si="4"/>
        <v>mg</v>
      </c>
      <c r="K39" s="349" t="s">
        <v>14</v>
      </c>
      <c r="L39" s="351">
        <v>0.6</v>
      </c>
      <c r="M39" s="11" t="str">
        <f t="shared" si="5"/>
        <v>to</v>
      </c>
      <c r="N39" s="352">
        <v>1.2</v>
      </c>
      <c r="O39" s="344" t="str">
        <f t="shared" si="6"/>
        <v>mg/kg</v>
      </c>
      <c r="P39" s="340">
        <f t="shared" si="7"/>
        <v>2.1</v>
      </c>
      <c r="Q39" s="9" t="str">
        <f t="shared" si="8"/>
        <v>to</v>
      </c>
      <c r="R39" s="343">
        <f t="shared" si="9"/>
        <v>4.2</v>
      </c>
      <c r="S39" s="345" t="str">
        <f t="shared" si="0"/>
        <v>mg</v>
      </c>
      <c r="T39" s="346">
        <v>2</v>
      </c>
      <c r="U39" s="340">
        <f t="shared" si="10"/>
        <v>0.2</v>
      </c>
      <c r="V39" s="9" t="str">
        <f t="shared" si="1"/>
        <v>to</v>
      </c>
      <c r="W39" s="343">
        <f t="shared" si="11"/>
        <v>0.4</v>
      </c>
      <c r="X39" s="343" t="str">
        <f t="shared" si="12"/>
        <v>mL</v>
      </c>
      <c r="Y39" s="10">
        <v>1</v>
      </c>
      <c r="Z39" s="348"/>
      <c r="AA39" s="317" t="str">
        <f t="shared" si="13"/>
        <v>0.2 - 0.4 mL</v>
      </c>
      <c r="AB39" s="13"/>
      <c r="AC39" s="11" t="str">
        <f>"0.6-1.2 mg/kg = "&amp;P39&amp;" - "&amp;R39&amp;" mg"</f>
        <v>0.6-1.2 mg/kg = 2.1 - 4.2 mg</v>
      </c>
      <c r="AD39" s="12" t="str">
        <f>IFERROR(IF(Admin!$X$61="On","max = 200 mg",0),0)</f>
        <v>max = 200 mg</v>
      </c>
      <c r="AE39" s="113" t="str">
        <f t="shared" si="14"/>
        <v>No</v>
      </c>
      <c r="AF39" s="112"/>
      <c r="AG39" s="248"/>
    </row>
    <row r="40" spans="2:33" s="55" customFormat="1" ht="25" customHeight="1" x14ac:dyDescent="0.2">
      <c r="B40" s="14" t="s">
        <v>771</v>
      </c>
      <c r="C40" s="349">
        <v>50</v>
      </c>
      <c r="D40" s="338" t="s">
        <v>7</v>
      </c>
      <c r="E40" s="350">
        <v>5</v>
      </c>
      <c r="F40" s="340">
        <f t="shared" si="2"/>
        <v>10</v>
      </c>
      <c r="G40" s="341" t="str">
        <f t="shared" si="3"/>
        <v>mg /mL</v>
      </c>
      <c r="H40" s="349">
        <v>0</v>
      </c>
      <c r="I40" s="12">
        <v>200</v>
      </c>
      <c r="J40" s="339" t="str">
        <f t="shared" ref="J40:J43" si="59">IF(D40="","",D40)</f>
        <v>mg</v>
      </c>
      <c r="K40" s="349" t="s">
        <v>15</v>
      </c>
      <c r="L40" s="351">
        <v>1.2</v>
      </c>
      <c r="M40" s="11" t="str">
        <f t="shared" ref="M40:M43" si="60">IF(K40="Yes","to","")</f>
        <v/>
      </c>
      <c r="N40" s="352"/>
      <c r="O40" s="344" t="str">
        <f t="shared" si="6"/>
        <v>mg/kg</v>
      </c>
      <c r="P40" s="340">
        <f t="shared" ref="P40:P43" si="61">IFERROR(ROUND(IF($L40=0,"",IF(($L40*$C$2)&lt;$H40,$H40,IF(($L40*$C$2)&gt;$I40,$I40,($L40*$C$2)))),T40),"")</f>
        <v>4.2</v>
      </c>
      <c r="Q40" s="9" t="str">
        <f t="shared" si="8"/>
        <v/>
      </c>
      <c r="R40" s="343" t="str">
        <f t="shared" ref="R40:R43" si="62">IFERROR(ROUND(IF($N40=0,"",IF(($N40*$C$2)&lt;$H40,$H40,IF(($N40*$C$2)&gt;$I40,$I40,($N40*$C$2)))),T40),"")</f>
        <v/>
      </c>
      <c r="S40" s="345" t="str">
        <f t="shared" ref="S40:S43" si="63">IF(D40="","",D40)</f>
        <v>mg</v>
      </c>
      <c r="T40" s="346">
        <v>2</v>
      </c>
      <c r="U40" s="340">
        <f t="shared" ref="U40:U43" si="64">IFERROR(ROUND(($P40/$F40),Y40),"")</f>
        <v>0.4</v>
      </c>
      <c r="V40" s="9" t="str">
        <f t="shared" ref="V40:V43" si="65">M40</f>
        <v/>
      </c>
      <c r="W40" s="343" t="str">
        <f t="shared" ref="W40:W43" si="66">IFERROR(ROUND(($R40/$F40),Y40),"")</f>
        <v/>
      </c>
      <c r="X40" s="343" t="str">
        <f t="shared" ref="X40:X43" si="67">IF(U40="","","mL")</f>
        <v>mL</v>
      </c>
      <c r="Y40" s="10">
        <v>1</v>
      </c>
      <c r="Z40" s="348"/>
      <c r="AA40" s="317" t="str">
        <f t="shared" si="13"/>
        <v>0.4 mL</v>
      </c>
      <c r="AB40" s="13"/>
      <c r="AC40" s="11" t="str">
        <f>"1.2 mg/kg = "&amp;P40&amp;" mg"</f>
        <v>1.2 mg/kg = 4.2 mg</v>
      </c>
      <c r="AD40" s="12" t="str">
        <f>IFERROR(IF(Admin!$X$61="On","max = 200 mg",0),0)</f>
        <v>max = 200 mg</v>
      </c>
      <c r="AE40" s="113" t="str">
        <f t="shared" si="14"/>
        <v>No</v>
      </c>
      <c r="AF40" s="112"/>
      <c r="AG40" s="248"/>
    </row>
    <row r="41" spans="2:33" s="55" customFormat="1" ht="25" customHeight="1" x14ac:dyDescent="0.2">
      <c r="B41" s="14" t="s">
        <v>763</v>
      </c>
      <c r="C41" s="349">
        <v>50</v>
      </c>
      <c r="D41" s="338" t="s">
        <v>7</v>
      </c>
      <c r="E41" s="350">
        <v>5</v>
      </c>
      <c r="F41" s="340">
        <f t="shared" si="2"/>
        <v>10</v>
      </c>
      <c r="G41" s="341" t="str">
        <f t="shared" si="3"/>
        <v>mg /mL</v>
      </c>
      <c r="H41" s="349">
        <v>0</v>
      </c>
      <c r="I41" s="12">
        <v>50</v>
      </c>
      <c r="J41" s="339" t="str">
        <f t="shared" si="59"/>
        <v>mg</v>
      </c>
      <c r="K41" s="349" t="s">
        <v>15</v>
      </c>
      <c r="L41" s="351">
        <v>0.5</v>
      </c>
      <c r="M41" s="11" t="str">
        <f t="shared" si="60"/>
        <v/>
      </c>
      <c r="N41" s="352"/>
      <c r="O41" s="344" t="str">
        <f t="shared" si="6"/>
        <v>mg/kg</v>
      </c>
      <c r="P41" s="340">
        <f t="shared" si="61"/>
        <v>1.75</v>
      </c>
      <c r="Q41" s="9" t="str">
        <f t="shared" si="8"/>
        <v/>
      </c>
      <c r="R41" s="343" t="str">
        <f t="shared" si="62"/>
        <v/>
      </c>
      <c r="S41" s="345" t="str">
        <f t="shared" si="63"/>
        <v>mg</v>
      </c>
      <c r="T41" s="346">
        <v>2</v>
      </c>
      <c r="U41" s="340">
        <f t="shared" si="64"/>
        <v>0.2</v>
      </c>
      <c r="V41" s="9" t="str">
        <f t="shared" si="65"/>
        <v/>
      </c>
      <c r="W41" s="343" t="str">
        <f t="shared" si="66"/>
        <v/>
      </c>
      <c r="X41" s="343" t="str">
        <f t="shared" si="67"/>
        <v>mL</v>
      </c>
      <c r="Y41" s="10">
        <v>1</v>
      </c>
      <c r="Z41" s="348"/>
      <c r="AA41" s="317" t="str">
        <f t="shared" si="13"/>
        <v>0.2 mL</v>
      </c>
      <c r="AB41" s="13"/>
      <c r="AC41" s="11" t="str">
        <f>"0.5 mg/kg = "&amp;P41&amp;" mg"</f>
        <v>0.5 mg/kg = 1.75 mg</v>
      </c>
      <c r="AD41" s="12" t="str">
        <f>IFERROR(IF(Admin!$X$61="On","max = 50 mg",0),0)</f>
        <v>max = 50 mg</v>
      </c>
      <c r="AE41" s="113" t="str">
        <f t="shared" si="14"/>
        <v>No</v>
      </c>
      <c r="AF41" s="112"/>
      <c r="AG41" s="248"/>
    </row>
    <row r="42" spans="2:33" s="55" customFormat="1" ht="25" customHeight="1" x14ac:dyDescent="0.2">
      <c r="B42" s="14" t="s">
        <v>764</v>
      </c>
      <c r="C42" s="349">
        <v>10</v>
      </c>
      <c r="D42" s="338" t="s">
        <v>7</v>
      </c>
      <c r="E42" s="350">
        <v>5</v>
      </c>
      <c r="F42" s="340">
        <f t="shared" si="2"/>
        <v>2</v>
      </c>
      <c r="G42" s="341" t="str">
        <f t="shared" si="3"/>
        <v>mg /mL</v>
      </c>
      <c r="H42" s="349">
        <v>0</v>
      </c>
      <c r="I42" s="12">
        <v>10</v>
      </c>
      <c r="J42" s="339" t="str">
        <f t="shared" si="59"/>
        <v>mg</v>
      </c>
      <c r="K42" s="349" t="s">
        <v>15</v>
      </c>
      <c r="L42" s="351">
        <v>0.1</v>
      </c>
      <c r="M42" s="11" t="str">
        <f t="shared" si="60"/>
        <v/>
      </c>
      <c r="N42" s="352"/>
      <c r="O42" s="344" t="str">
        <f t="shared" si="6"/>
        <v>mg/kg</v>
      </c>
      <c r="P42" s="340">
        <f t="shared" si="61"/>
        <v>0.35</v>
      </c>
      <c r="Q42" s="9" t="str">
        <f t="shared" si="8"/>
        <v/>
      </c>
      <c r="R42" s="343" t="str">
        <f t="shared" si="62"/>
        <v/>
      </c>
      <c r="S42" s="345" t="str">
        <f t="shared" si="63"/>
        <v>mg</v>
      </c>
      <c r="T42" s="346">
        <v>2</v>
      </c>
      <c r="U42" s="340">
        <f t="shared" si="64"/>
        <v>0.2</v>
      </c>
      <c r="V42" s="9" t="str">
        <f t="shared" si="65"/>
        <v/>
      </c>
      <c r="W42" s="343" t="str">
        <f t="shared" si="66"/>
        <v/>
      </c>
      <c r="X42" s="343" t="str">
        <f t="shared" si="67"/>
        <v>mL</v>
      </c>
      <c r="Y42" s="10">
        <v>1</v>
      </c>
      <c r="Z42" s="348"/>
      <c r="AA42" s="317" t="str">
        <f>"Dilute 10 mg vial with 5 mL WFI"&amp;CHAR(10)&amp;" DOSE: "&amp;U42&amp;" mL of dilution"</f>
        <v>Dilute 10 mg vial with 5 mL WFI
 DOSE: 0.2 mL of dilution</v>
      </c>
      <c r="AB42" s="13"/>
      <c r="AC42" s="11" t="str">
        <f>"0.1 mg/kg = "&amp;P42&amp;" mg"</f>
        <v>0.1 mg/kg = 0.35 mg</v>
      </c>
      <c r="AD42" s="12" t="str">
        <f>IFERROR(IF(Admin!$X$61="On","max = 10 mg",0),0)</f>
        <v>max = 10 mg</v>
      </c>
      <c r="AE42" s="113" t="str">
        <f t="shared" si="14"/>
        <v>No</v>
      </c>
      <c r="AF42" s="112"/>
      <c r="AG42" s="248"/>
    </row>
    <row r="43" spans="2:33" s="55" customFormat="1" ht="25" customHeight="1" x14ac:dyDescent="0.2">
      <c r="B43" s="14" t="s">
        <v>719</v>
      </c>
      <c r="C43" s="349">
        <v>100</v>
      </c>
      <c r="D43" s="338" t="s">
        <v>7</v>
      </c>
      <c r="E43" s="350">
        <v>2</v>
      </c>
      <c r="F43" s="340">
        <f t="shared" si="2"/>
        <v>50</v>
      </c>
      <c r="G43" s="341" t="str">
        <f t="shared" si="3"/>
        <v>mg /mL</v>
      </c>
      <c r="H43" s="349">
        <v>0</v>
      </c>
      <c r="I43" s="12">
        <v>150</v>
      </c>
      <c r="J43" s="339" t="str">
        <f t="shared" si="59"/>
        <v>mg</v>
      </c>
      <c r="K43" s="349" t="s">
        <v>15</v>
      </c>
      <c r="L43" s="351">
        <v>4</v>
      </c>
      <c r="M43" s="11" t="str">
        <f t="shared" si="60"/>
        <v/>
      </c>
      <c r="N43" s="352"/>
      <c r="O43" s="344" t="str">
        <f t="shared" si="6"/>
        <v>mg/kg</v>
      </c>
      <c r="P43" s="340">
        <f t="shared" si="61"/>
        <v>14</v>
      </c>
      <c r="Q43" s="9" t="str">
        <f t="shared" si="8"/>
        <v/>
      </c>
      <c r="R43" s="343" t="str">
        <f t="shared" si="62"/>
        <v/>
      </c>
      <c r="S43" s="345" t="str">
        <f t="shared" si="63"/>
        <v>mg</v>
      </c>
      <c r="T43" s="346">
        <v>2</v>
      </c>
      <c r="U43" s="340">
        <f t="shared" si="64"/>
        <v>0.28000000000000003</v>
      </c>
      <c r="V43" s="9" t="str">
        <f t="shared" si="65"/>
        <v/>
      </c>
      <c r="W43" s="343" t="str">
        <f t="shared" si="66"/>
        <v/>
      </c>
      <c r="X43" s="343" t="str">
        <f t="shared" si="67"/>
        <v>mL</v>
      </c>
      <c r="Y43" s="10">
        <v>2</v>
      </c>
      <c r="Z43" s="348"/>
      <c r="AA43" s="317" t="str">
        <f>IF($U43="","",IF($K43="Yes",$U43&amp;" - "&amp;$W43&amp;" mL",$U43&amp;" mL"))&amp;" INTRAMUSCULAR"</f>
        <v>0.28 mL INTRAMUSCULAR</v>
      </c>
      <c r="AB43" s="13" t="s">
        <v>723</v>
      </c>
      <c r="AC43" s="11" t="str">
        <f>"4 mg/kg = "&amp;P43&amp;" mg"</f>
        <v>4 mg/kg = 14 mg</v>
      </c>
      <c r="AD43" s="12" t="str">
        <f>IFERROR(IF(Admin!$X$61="On","max = 150 mg",0),0)</f>
        <v>max = 150 mg</v>
      </c>
      <c r="AE43" s="113" t="str">
        <f t="shared" si="14"/>
        <v>No</v>
      </c>
      <c r="AF43" s="112"/>
      <c r="AG43" s="248" t="s">
        <v>287</v>
      </c>
    </row>
    <row r="44" spans="2:33" s="55" customFormat="1" ht="25" customHeight="1" x14ac:dyDescent="0.2">
      <c r="B44" s="14" t="s">
        <v>718</v>
      </c>
      <c r="C44" s="349">
        <v>100</v>
      </c>
      <c r="D44" s="338" t="s">
        <v>7</v>
      </c>
      <c r="E44" s="350">
        <v>2</v>
      </c>
      <c r="F44" s="340">
        <f t="shared" si="2"/>
        <v>50</v>
      </c>
      <c r="G44" s="341" t="str">
        <f t="shared" si="3"/>
        <v>mg /mL</v>
      </c>
      <c r="H44" s="349">
        <v>0</v>
      </c>
      <c r="I44" s="12">
        <v>100</v>
      </c>
      <c r="J44" s="339" t="str">
        <f t="shared" si="4"/>
        <v>mg</v>
      </c>
      <c r="K44" s="349" t="s">
        <v>15</v>
      </c>
      <c r="L44" s="449">
        <f>IF(OR(ISTEXT($L$2),$L$2&lt;1),2,1)</f>
        <v>2</v>
      </c>
      <c r="M44" s="11" t="str">
        <f t="shared" si="5"/>
        <v/>
      </c>
      <c r="N44" s="352"/>
      <c r="O44" s="344" t="str">
        <f t="shared" si="6"/>
        <v>mg/kg</v>
      </c>
      <c r="P44" s="340">
        <f t="shared" si="7"/>
        <v>7</v>
      </c>
      <c r="Q44" s="9" t="str">
        <f t="shared" si="8"/>
        <v/>
      </c>
      <c r="R44" s="343" t="str">
        <f t="shared" si="9"/>
        <v/>
      </c>
      <c r="S44" s="345" t="str">
        <f t="shared" si="0"/>
        <v>mg</v>
      </c>
      <c r="T44" s="346">
        <v>2</v>
      </c>
      <c r="U44" s="340">
        <f t="shared" si="10"/>
        <v>0.14000000000000001</v>
      </c>
      <c r="V44" s="9" t="str">
        <f t="shared" si="1"/>
        <v/>
      </c>
      <c r="W44" s="343" t="str">
        <f t="shared" si="11"/>
        <v/>
      </c>
      <c r="X44" s="343" t="str">
        <f t="shared" si="12"/>
        <v>mL</v>
      </c>
      <c r="Y44" s="10">
        <v>2</v>
      </c>
      <c r="Z44" s="348"/>
      <c r="AA44" s="317" t="str">
        <f t="shared" si="13"/>
        <v>0.14 mL</v>
      </c>
      <c r="AB44" s="13"/>
      <c r="AC44" s="256" t="str">
        <f>$L$44&amp;" mg/kg = "&amp;P44&amp;" mg"</f>
        <v>2 mg/kg = 7 mg</v>
      </c>
      <c r="AD44" s="12" t="str">
        <f>IFERROR(IF(Admin!$X$61="On","max = 100 mg",0),0)</f>
        <v>max = 100 mg</v>
      </c>
      <c r="AE44" s="113" t="str">
        <f t="shared" si="14"/>
        <v>No</v>
      </c>
      <c r="AF44" s="112"/>
      <c r="AG44" s="248" t="s">
        <v>287</v>
      </c>
    </row>
    <row r="45" spans="2:33" s="55" customFormat="1" ht="25" customHeight="1" x14ac:dyDescent="0.2">
      <c r="B45" s="14"/>
      <c r="C45" s="349"/>
      <c r="D45" s="338"/>
      <c r="E45" s="350"/>
      <c r="F45" s="340" t="str">
        <f t="shared" si="2"/>
        <v/>
      </c>
      <c r="G45" s="341" t="str">
        <f t="shared" si="3"/>
        <v/>
      </c>
      <c r="H45" s="349"/>
      <c r="I45" s="12"/>
      <c r="J45" s="339" t="str">
        <f t="shared" si="4"/>
        <v/>
      </c>
      <c r="K45" s="349"/>
      <c r="L45" s="351"/>
      <c r="M45" s="11" t="str">
        <f t="shared" si="5"/>
        <v/>
      </c>
      <c r="N45" s="352"/>
      <c r="O45" s="344" t="str">
        <f t="shared" si="6"/>
        <v/>
      </c>
      <c r="P45" s="340" t="str">
        <f t="shared" si="7"/>
        <v/>
      </c>
      <c r="Q45" s="9" t="str">
        <f t="shared" si="8"/>
        <v/>
      </c>
      <c r="R45" s="343" t="str">
        <f t="shared" si="9"/>
        <v/>
      </c>
      <c r="S45" s="345" t="str">
        <f t="shared" si="0"/>
        <v/>
      </c>
      <c r="T45" s="346"/>
      <c r="U45" s="340" t="str">
        <f t="shared" si="10"/>
        <v/>
      </c>
      <c r="V45" s="9" t="str">
        <f t="shared" si="1"/>
        <v/>
      </c>
      <c r="W45" s="343" t="str">
        <f t="shared" si="11"/>
        <v/>
      </c>
      <c r="X45" s="343" t="str">
        <f t="shared" si="12"/>
        <v/>
      </c>
      <c r="Y45" s="10"/>
      <c r="Z45" s="348"/>
      <c r="AA45" s="317" t="str">
        <f t="shared" si="13"/>
        <v/>
      </c>
      <c r="AB45" s="13"/>
      <c r="AC45" s="11"/>
      <c r="AD45" s="12"/>
      <c r="AE45" s="113" t="str">
        <f t="shared" si="14"/>
        <v/>
      </c>
      <c r="AF45" s="112"/>
      <c r="AG45" s="248"/>
    </row>
    <row r="46" spans="2:33" s="55" customFormat="1" ht="25" customHeight="1" x14ac:dyDescent="0.2">
      <c r="B46" s="14" t="s">
        <v>28</v>
      </c>
      <c r="C46" s="349">
        <v>500</v>
      </c>
      <c r="D46" s="338" t="s">
        <v>29</v>
      </c>
      <c r="E46" s="350">
        <v>500</v>
      </c>
      <c r="F46" s="340">
        <f t="shared" si="2"/>
        <v>1</v>
      </c>
      <c r="G46" s="341" t="str">
        <f t="shared" si="3"/>
        <v>mL /mL</v>
      </c>
      <c r="H46" s="349">
        <v>0</v>
      </c>
      <c r="I46" s="12">
        <v>500</v>
      </c>
      <c r="J46" s="339" t="str">
        <f t="shared" si="4"/>
        <v>mL</v>
      </c>
      <c r="K46" s="349" t="s">
        <v>15</v>
      </c>
      <c r="L46" s="351">
        <v>3</v>
      </c>
      <c r="M46" s="11" t="str">
        <f t="shared" si="5"/>
        <v/>
      </c>
      <c r="N46" s="352"/>
      <c r="O46" s="344" t="str">
        <f t="shared" si="6"/>
        <v>mL/kg</v>
      </c>
      <c r="P46" s="340">
        <f t="shared" si="7"/>
        <v>10.5</v>
      </c>
      <c r="Q46" s="9" t="str">
        <f t="shared" si="8"/>
        <v/>
      </c>
      <c r="R46" s="343" t="str">
        <f t="shared" si="9"/>
        <v/>
      </c>
      <c r="S46" s="345" t="str">
        <f t="shared" si="0"/>
        <v>mL</v>
      </c>
      <c r="T46" s="346">
        <v>2</v>
      </c>
      <c r="U46" s="340">
        <f t="shared" si="10"/>
        <v>11</v>
      </c>
      <c r="V46" s="9" t="str">
        <f t="shared" si="1"/>
        <v/>
      </c>
      <c r="W46" s="343" t="str">
        <f t="shared" si="11"/>
        <v/>
      </c>
      <c r="X46" s="343" t="str">
        <f t="shared" si="12"/>
        <v>mL</v>
      </c>
      <c r="Y46" s="10">
        <v>0</v>
      </c>
      <c r="Z46" s="348"/>
      <c r="AA46" s="317" t="str">
        <f t="shared" si="13"/>
        <v>11 mL</v>
      </c>
      <c r="AB46" s="13" t="s">
        <v>286</v>
      </c>
      <c r="AC46" s="11" t="str">
        <f>" 3 ml/kg = "&amp;P46&amp;" mL"</f>
        <v xml:space="preserve"> 3 ml/kg = 10.5 mL</v>
      </c>
      <c r="AD46" s="12" t="s">
        <v>52</v>
      </c>
      <c r="AE46" s="113" t="str">
        <f t="shared" si="14"/>
        <v>No</v>
      </c>
      <c r="AF46" s="112"/>
      <c r="AG46" s="248" t="s">
        <v>464</v>
      </c>
    </row>
    <row r="47" spans="2:33" s="55" customFormat="1" ht="25" customHeight="1" x14ac:dyDescent="0.2">
      <c r="B47" s="14" t="s">
        <v>73</v>
      </c>
      <c r="C47" s="349">
        <v>100</v>
      </c>
      <c r="D47" s="338" t="s">
        <v>74</v>
      </c>
      <c r="E47" s="350">
        <v>500</v>
      </c>
      <c r="F47" s="340">
        <f t="shared" si="2"/>
        <v>0.2</v>
      </c>
      <c r="G47" s="341" t="str">
        <f t="shared" si="3"/>
        <v>gram /mL</v>
      </c>
      <c r="H47" s="349">
        <v>0</v>
      </c>
      <c r="I47" s="12">
        <v>100</v>
      </c>
      <c r="J47" s="339" t="str">
        <f t="shared" si="4"/>
        <v>gram</v>
      </c>
      <c r="K47" s="349" t="s">
        <v>15</v>
      </c>
      <c r="L47" s="351">
        <v>0.5</v>
      </c>
      <c r="M47" s="11" t="str">
        <f t="shared" si="5"/>
        <v/>
      </c>
      <c r="N47" s="352"/>
      <c r="O47" s="344" t="str">
        <f t="shared" si="6"/>
        <v>gram/kg</v>
      </c>
      <c r="P47" s="340">
        <f t="shared" si="7"/>
        <v>1.75</v>
      </c>
      <c r="Q47" s="9" t="str">
        <f t="shared" si="8"/>
        <v/>
      </c>
      <c r="R47" s="343" t="str">
        <f t="shared" si="9"/>
        <v/>
      </c>
      <c r="S47" s="345" t="str">
        <f t="shared" si="0"/>
        <v>gram</v>
      </c>
      <c r="T47" s="346">
        <v>2</v>
      </c>
      <c r="U47" s="340">
        <f t="shared" si="10"/>
        <v>9</v>
      </c>
      <c r="V47" s="9" t="str">
        <f t="shared" si="1"/>
        <v/>
      </c>
      <c r="W47" s="343" t="str">
        <f t="shared" si="11"/>
        <v/>
      </c>
      <c r="X47" s="343" t="str">
        <f t="shared" si="12"/>
        <v>mL</v>
      </c>
      <c r="Y47" s="10">
        <v>0</v>
      </c>
      <c r="Z47" s="348"/>
      <c r="AA47" s="317" t="str">
        <f t="shared" si="13"/>
        <v>9 mL</v>
      </c>
      <c r="AB47" s="13" t="s">
        <v>67</v>
      </c>
      <c r="AC47" s="11" t="str">
        <f>"2.5 mL/kg = "&amp;AA47</f>
        <v>2.5 mL/kg = 9 mL</v>
      </c>
      <c r="AD47" s="12" t="s">
        <v>52</v>
      </c>
      <c r="AE47" s="113" t="str">
        <f t="shared" si="14"/>
        <v>No</v>
      </c>
      <c r="AF47" s="112"/>
      <c r="AG47" s="248" t="s">
        <v>464</v>
      </c>
    </row>
    <row r="48" spans="2:33" s="55" customFormat="1" ht="25" customHeight="1" x14ac:dyDescent="0.2">
      <c r="B48" s="14"/>
      <c r="C48" s="349"/>
      <c r="D48" s="338"/>
      <c r="E48" s="350"/>
      <c r="F48" s="340" t="str">
        <f t="shared" si="2"/>
        <v/>
      </c>
      <c r="G48" s="341" t="str">
        <f t="shared" si="3"/>
        <v/>
      </c>
      <c r="H48" s="349"/>
      <c r="I48" s="12"/>
      <c r="J48" s="339" t="str">
        <f t="shared" si="4"/>
        <v/>
      </c>
      <c r="K48" s="349"/>
      <c r="L48" s="351"/>
      <c r="M48" s="11" t="str">
        <f t="shared" si="5"/>
        <v/>
      </c>
      <c r="N48" s="352"/>
      <c r="O48" s="344" t="str">
        <f t="shared" si="6"/>
        <v/>
      </c>
      <c r="P48" s="340" t="str">
        <f t="shared" si="7"/>
        <v/>
      </c>
      <c r="Q48" s="9" t="str">
        <f t="shared" si="8"/>
        <v/>
      </c>
      <c r="R48" s="343" t="str">
        <f t="shared" si="9"/>
        <v/>
      </c>
      <c r="S48" s="345" t="str">
        <f t="shared" si="0"/>
        <v/>
      </c>
      <c r="T48" s="346"/>
      <c r="U48" s="340" t="str">
        <f t="shared" si="10"/>
        <v/>
      </c>
      <c r="V48" s="9" t="str">
        <f t="shared" si="1"/>
        <v/>
      </c>
      <c r="W48" s="343" t="str">
        <f t="shared" si="11"/>
        <v/>
      </c>
      <c r="X48" s="343" t="str">
        <f t="shared" si="12"/>
        <v/>
      </c>
      <c r="Y48" s="10"/>
      <c r="Z48" s="348"/>
      <c r="AA48" s="317" t="str">
        <f t="shared" si="13"/>
        <v/>
      </c>
      <c r="AB48" s="13"/>
      <c r="AC48" s="11"/>
      <c r="AD48" s="12"/>
      <c r="AE48" s="113" t="str">
        <f t="shared" si="14"/>
        <v/>
      </c>
      <c r="AF48" s="112"/>
      <c r="AG48" s="248"/>
    </row>
    <row r="49" spans="2:33" s="55" customFormat="1" ht="25" customHeight="1" x14ac:dyDescent="0.2">
      <c r="B49" s="14" t="s">
        <v>720</v>
      </c>
      <c r="C49" s="349">
        <v>1</v>
      </c>
      <c r="D49" s="338" t="s">
        <v>29</v>
      </c>
      <c r="E49" s="350">
        <v>1</v>
      </c>
      <c r="F49" s="340">
        <f t="shared" si="2"/>
        <v>1</v>
      </c>
      <c r="G49" s="341" t="str">
        <f t="shared" si="3"/>
        <v>mL /mL</v>
      </c>
      <c r="H49" s="349">
        <v>0.5</v>
      </c>
      <c r="I49" s="12">
        <v>5</v>
      </c>
      <c r="J49" s="339" t="str">
        <f t="shared" si="4"/>
        <v>mL</v>
      </c>
      <c r="K49" s="349" t="s">
        <v>15</v>
      </c>
      <c r="L49" s="351">
        <v>0.5</v>
      </c>
      <c r="M49" s="11" t="str">
        <f t="shared" si="5"/>
        <v/>
      </c>
      <c r="N49" s="352"/>
      <c r="O49" s="344" t="str">
        <f t="shared" si="6"/>
        <v>mL/kg</v>
      </c>
      <c r="P49" s="340">
        <f t="shared" si="7"/>
        <v>1.75</v>
      </c>
      <c r="Q49" s="9" t="str">
        <f t="shared" si="8"/>
        <v/>
      </c>
      <c r="R49" s="343" t="str">
        <f t="shared" si="9"/>
        <v/>
      </c>
      <c r="S49" s="345" t="str">
        <f t="shared" si="0"/>
        <v>mL</v>
      </c>
      <c r="T49" s="346">
        <v>2</v>
      </c>
      <c r="U49" s="578">
        <f>IFERROR(MROUND(($P49/$F49),0.5),"")</f>
        <v>2</v>
      </c>
      <c r="V49" s="9" t="str">
        <f t="shared" si="1"/>
        <v/>
      </c>
      <c r="W49" s="343" t="str">
        <f t="shared" si="11"/>
        <v/>
      </c>
      <c r="X49" s="343" t="str">
        <f t="shared" si="12"/>
        <v>mL</v>
      </c>
      <c r="Y49" s="10">
        <v>1</v>
      </c>
      <c r="Z49" s="348"/>
      <c r="AA49" s="577" t="str">
        <f>IF(U49=5,"5 mL NEBULISED",U49&amp;" mL made up to 5 mL N/S"&amp;CHAR(10)&amp;" NEBULISED")</f>
        <v>2 mL made up to 5 mL N/S
 NEBULISED</v>
      </c>
      <c r="AB49" s="13" t="s">
        <v>722</v>
      </c>
      <c r="AC49" s="11" t="str">
        <f>"0.5 mL/kg = "&amp;U49&amp;" mL"</f>
        <v>0.5 mL/kg = 2 mL</v>
      </c>
      <c r="AD49" s="12" t="str">
        <f>IFERROR(IF(Admin!$X$61="On","max = 5 mL",0),0)</f>
        <v>max = 5 mL</v>
      </c>
      <c r="AE49" s="113" t="str">
        <f t="shared" si="14"/>
        <v>No</v>
      </c>
      <c r="AF49" s="112"/>
      <c r="AG49" s="248" t="s">
        <v>721</v>
      </c>
    </row>
    <row r="50" spans="2:33" s="55" customFormat="1" ht="25" customHeight="1" x14ac:dyDescent="0.2">
      <c r="B50" s="14" t="s">
        <v>72</v>
      </c>
      <c r="C50" s="349">
        <v>1</v>
      </c>
      <c r="D50" s="338" t="s">
        <v>7</v>
      </c>
      <c r="E50" s="350">
        <v>1</v>
      </c>
      <c r="F50" s="340">
        <f t="shared" si="2"/>
        <v>1</v>
      </c>
      <c r="G50" s="341" t="str">
        <f t="shared" si="3"/>
        <v>mg /mL</v>
      </c>
      <c r="H50" s="349">
        <v>0.1</v>
      </c>
      <c r="I50" s="12">
        <v>0.5</v>
      </c>
      <c r="J50" s="339" t="str">
        <f t="shared" si="4"/>
        <v>mg</v>
      </c>
      <c r="K50" s="349" t="s">
        <v>15</v>
      </c>
      <c r="L50" s="351">
        <v>0.01</v>
      </c>
      <c r="M50" s="11" t="str">
        <f t="shared" si="5"/>
        <v/>
      </c>
      <c r="N50" s="352"/>
      <c r="O50" s="344" t="str">
        <f t="shared" si="6"/>
        <v>mg/kg</v>
      </c>
      <c r="P50" s="340">
        <f t="shared" si="7"/>
        <v>0.1</v>
      </c>
      <c r="Q50" s="9" t="str">
        <f t="shared" si="8"/>
        <v/>
      </c>
      <c r="R50" s="343" t="str">
        <f t="shared" si="9"/>
        <v/>
      </c>
      <c r="S50" s="345" t="str">
        <f t="shared" si="0"/>
        <v>mg</v>
      </c>
      <c r="T50" s="346">
        <v>2</v>
      </c>
      <c r="U50" s="340">
        <f t="shared" si="10"/>
        <v>0.1</v>
      </c>
      <c r="V50" s="9" t="str">
        <f t="shared" si="1"/>
        <v/>
      </c>
      <c r="W50" s="343" t="str">
        <f t="shared" si="11"/>
        <v/>
      </c>
      <c r="X50" s="343" t="str">
        <f t="shared" si="12"/>
        <v>mL</v>
      </c>
      <c r="Y50" s="10">
        <v>2</v>
      </c>
      <c r="Z50" s="348"/>
      <c r="AA50" s="317" t="str">
        <f>IF($U50="","",IF($K50="Yes",$U50&amp;" - "&amp;$W50&amp;" mL",$U50&amp;" mL"))&amp;" INTRAMUSCULAR"</f>
        <v>0.1 mL INTRAMUSCULAR</v>
      </c>
      <c r="AB50" s="13" t="s">
        <v>722</v>
      </c>
      <c r="AC50" s="11" t="str">
        <f>"0.01 mg/kg = "&amp;P50&amp;" mg"</f>
        <v>0.01 mg/kg = 0.1 mg</v>
      </c>
      <c r="AD50" s="12" t="str">
        <f>"min = 0.1 mg"&amp;IF(Admin!$X$61="On",", max = 0.5 mg","")</f>
        <v>min = 0.1 mg, max = 0.5 mg</v>
      </c>
      <c r="AE50" s="113" t="str">
        <f t="shared" si="14"/>
        <v>No</v>
      </c>
      <c r="AF50" s="112"/>
      <c r="AG50" s="248" t="s">
        <v>465</v>
      </c>
    </row>
    <row r="51" spans="2:33" s="55" customFormat="1" ht="25" customHeight="1" x14ac:dyDescent="0.2">
      <c r="B51" s="14"/>
      <c r="C51" s="349"/>
      <c r="D51" s="338"/>
      <c r="E51" s="350"/>
      <c r="F51" s="340" t="str">
        <f t="shared" si="2"/>
        <v/>
      </c>
      <c r="G51" s="341" t="str">
        <f t="shared" si="3"/>
        <v/>
      </c>
      <c r="H51" s="349"/>
      <c r="I51" s="12"/>
      <c r="J51" s="339" t="str">
        <f t="shared" si="4"/>
        <v/>
      </c>
      <c r="K51" s="349"/>
      <c r="L51" s="351"/>
      <c r="M51" s="11" t="str">
        <f t="shared" si="5"/>
        <v/>
      </c>
      <c r="N51" s="352"/>
      <c r="O51" s="344" t="str">
        <f t="shared" si="6"/>
        <v/>
      </c>
      <c r="P51" s="340" t="str">
        <f t="shared" si="7"/>
        <v/>
      </c>
      <c r="Q51" s="9" t="str">
        <f t="shared" si="8"/>
        <v/>
      </c>
      <c r="R51" s="343" t="str">
        <f t="shared" si="9"/>
        <v/>
      </c>
      <c r="S51" s="345" t="str">
        <f t="shared" si="0"/>
        <v/>
      </c>
      <c r="T51" s="346"/>
      <c r="U51" s="340" t="str">
        <f t="shared" si="10"/>
        <v/>
      </c>
      <c r="V51" s="9" t="str">
        <f t="shared" si="1"/>
        <v/>
      </c>
      <c r="W51" s="343" t="str">
        <f t="shared" si="11"/>
        <v/>
      </c>
      <c r="X51" s="343" t="str">
        <f t="shared" si="12"/>
        <v/>
      </c>
      <c r="Y51" s="10"/>
      <c r="Z51" s="348"/>
      <c r="AA51" s="317" t="str">
        <f t="shared" si="13"/>
        <v/>
      </c>
      <c r="AB51" s="13"/>
      <c r="AC51" s="11"/>
      <c r="AD51" s="12"/>
      <c r="AE51" s="113" t="str">
        <f t="shared" si="14"/>
        <v/>
      </c>
      <c r="AF51" s="112"/>
      <c r="AG51" s="248"/>
    </row>
    <row r="52" spans="2:33" s="55" customFormat="1" ht="25" customHeight="1" x14ac:dyDescent="0.2">
      <c r="B52" s="14" t="s">
        <v>75</v>
      </c>
      <c r="C52" s="349">
        <v>200</v>
      </c>
      <c r="D52" s="338" t="s">
        <v>7</v>
      </c>
      <c r="E52" s="350">
        <v>2</v>
      </c>
      <c r="F52" s="340">
        <f t="shared" si="2"/>
        <v>100</v>
      </c>
      <c r="G52" s="341" t="str">
        <f t="shared" si="3"/>
        <v>mg /mL</v>
      </c>
      <c r="H52" s="349">
        <v>0</v>
      </c>
      <c r="I52" s="12">
        <v>500</v>
      </c>
      <c r="J52" s="339" t="str">
        <f t="shared" si="4"/>
        <v>mg</v>
      </c>
      <c r="K52" s="349" t="s">
        <v>15</v>
      </c>
      <c r="L52" s="351">
        <v>16</v>
      </c>
      <c r="M52" s="11" t="str">
        <f t="shared" si="5"/>
        <v/>
      </c>
      <c r="N52" s="352"/>
      <c r="O52" s="344" t="str">
        <f t="shared" si="6"/>
        <v>mg/kg</v>
      </c>
      <c r="P52" s="340">
        <f t="shared" si="7"/>
        <v>56</v>
      </c>
      <c r="Q52" s="9" t="str">
        <f t="shared" si="8"/>
        <v/>
      </c>
      <c r="R52" s="343" t="str">
        <f t="shared" si="9"/>
        <v/>
      </c>
      <c r="S52" s="345" t="str">
        <f t="shared" si="0"/>
        <v>mg</v>
      </c>
      <c r="T52" s="346">
        <v>2</v>
      </c>
      <c r="U52" s="340">
        <f t="shared" si="10"/>
        <v>0.6</v>
      </c>
      <c r="V52" s="9" t="str">
        <f t="shared" si="1"/>
        <v/>
      </c>
      <c r="W52" s="343" t="str">
        <f t="shared" si="11"/>
        <v/>
      </c>
      <c r="X52" s="343" t="str">
        <f t="shared" si="12"/>
        <v>mL</v>
      </c>
      <c r="Y52" s="10">
        <v>1</v>
      </c>
      <c r="Z52" s="348"/>
      <c r="AA52" s="317" t="str">
        <f t="shared" si="13"/>
        <v>0.6 mL</v>
      </c>
      <c r="AB52" s="13"/>
      <c r="AC52" s="11" t="str">
        <f>"16 mg/kg = "&amp;P52&amp;" mg"</f>
        <v>16 mg/kg = 56 mg</v>
      </c>
      <c r="AD52" s="12" t="str">
        <f>IFERROR(IF(Admin!$X$61="On","max = 500 mg",0),0)</f>
        <v>max = 500 mg</v>
      </c>
      <c r="AE52" s="113" t="str">
        <f t="shared" si="14"/>
        <v>No</v>
      </c>
      <c r="AF52" s="112"/>
      <c r="AG52" s="248" t="s">
        <v>526</v>
      </c>
    </row>
    <row r="53" spans="2:33" s="55" customFormat="1" ht="25" customHeight="1" x14ac:dyDescent="0.2">
      <c r="B53" s="14" t="s">
        <v>343</v>
      </c>
      <c r="C53" s="349">
        <v>400</v>
      </c>
      <c r="D53" s="338" t="s">
        <v>8</v>
      </c>
      <c r="E53" s="350">
        <v>1</v>
      </c>
      <c r="F53" s="340">
        <f t="shared" si="2"/>
        <v>400</v>
      </c>
      <c r="G53" s="341" t="str">
        <f t="shared" si="3"/>
        <v>micrograms /mL</v>
      </c>
      <c r="H53" s="349">
        <v>0</v>
      </c>
      <c r="I53" s="12">
        <v>400</v>
      </c>
      <c r="J53" s="339" t="str">
        <f t="shared" si="4"/>
        <v>micrograms</v>
      </c>
      <c r="K53" s="349" t="s">
        <v>15</v>
      </c>
      <c r="L53" s="351">
        <v>10</v>
      </c>
      <c r="M53" s="11" t="str">
        <f t="shared" si="5"/>
        <v/>
      </c>
      <c r="N53" s="352"/>
      <c r="O53" s="344" t="str">
        <f t="shared" si="6"/>
        <v>micrograms/kg</v>
      </c>
      <c r="P53" s="340">
        <f t="shared" si="7"/>
        <v>35</v>
      </c>
      <c r="Q53" s="9" t="str">
        <f t="shared" si="8"/>
        <v/>
      </c>
      <c r="R53" s="343" t="str">
        <f t="shared" si="9"/>
        <v/>
      </c>
      <c r="S53" s="345" t="str">
        <f t="shared" si="0"/>
        <v>micrograms</v>
      </c>
      <c r="T53" s="346">
        <v>2</v>
      </c>
      <c r="U53" s="340">
        <f t="shared" si="10"/>
        <v>0.09</v>
      </c>
      <c r="V53" s="9" t="str">
        <f t="shared" si="1"/>
        <v/>
      </c>
      <c r="W53" s="343" t="str">
        <f t="shared" si="11"/>
        <v/>
      </c>
      <c r="X53" s="343" t="str">
        <f t="shared" si="12"/>
        <v>mL</v>
      </c>
      <c r="Y53" s="10">
        <v>2</v>
      </c>
      <c r="Z53" s="348"/>
      <c r="AA53" s="317" t="str">
        <f t="shared" si="13"/>
        <v>0.09 mL</v>
      </c>
      <c r="AB53" s="13"/>
      <c r="AC53" s="11" t="str">
        <f>"10 mcg/kg = "&amp;P53&amp;" mcg"</f>
        <v>10 mcg/kg = 35 mcg</v>
      </c>
      <c r="AD53" s="12" t="s">
        <v>76</v>
      </c>
      <c r="AE53" s="113" t="str">
        <f t="shared" si="14"/>
        <v>No</v>
      </c>
      <c r="AF53" s="112"/>
      <c r="AG53" s="248" t="s">
        <v>527</v>
      </c>
    </row>
    <row r="54" spans="2:33" s="55" customFormat="1" ht="25" customHeight="1" x14ac:dyDescent="0.2">
      <c r="B54" s="14" t="s">
        <v>126</v>
      </c>
      <c r="C54" s="349">
        <v>500</v>
      </c>
      <c r="D54" s="338" t="s">
        <v>8</v>
      </c>
      <c r="E54" s="350">
        <v>5</v>
      </c>
      <c r="F54" s="340">
        <f t="shared" si="2"/>
        <v>100</v>
      </c>
      <c r="G54" s="341" t="str">
        <f t="shared" si="3"/>
        <v>micrograms /mL</v>
      </c>
      <c r="H54" s="349">
        <v>0</v>
      </c>
      <c r="I54" s="12">
        <v>200</v>
      </c>
      <c r="J54" s="339" t="str">
        <f t="shared" si="4"/>
        <v>micrograms</v>
      </c>
      <c r="K54" s="349" t="s">
        <v>15</v>
      </c>
      <c r="L54" s="351">
        <v>5</v>
      </c>
      <c r="M54" s="11" t="str">
        <f t="shared" si="5"/>
        <v/>
      </c>
      <c r="N54" s="352"/>
      <c r="O54" s="344" t="str">
        <f t="shared" si="6"/>
        <v>micrograms/kg</v>
      </c>
      <c r="P54" s="340">
        <f t="shared" si="7"/>
        <v>17.5</v>
      </c>
      <c r="Q54" s="9" t="str">
        <f t="shared" si="8"/>
        <v/>
      </c>
      <c r="R54" s="343" t="str">
        <f t="shared" si="9"/>
        <v/>
      </c>
      <c r="S54" s="345" t="str">
        <f t="shared" si="0"/>
        <v>micrograms</v>
      </c>
      <c r="T54" s="346">
        <v>2</v>
      </c>
      <c r="U54" s="340">
        <f t="shared" si="10"/>
        <v>0.18</v>
      </c>
      <c r="V54" s="9" t="str">
        <f t="shared" si="1"/>
        <v/>
      </c>
      <c r="W54" s="343" t="str">
        <f t="shared" si="11"/>
        <v/>
      </c>
      <c r="X54" s="343" t="str">
        <f t="shared" si="12"/>
        <v>mL</v>
      </c>
      <c r="Y54" s="10">
        <v>2</v>
      </c>
      <c r="Z54" s="348"/>
      <c r="AA54" s="317" t="str">
        <f t="shared" si="13"/>
        <v>0.18 mL</v>
      </c>
      <c r="AB54" s="13"/>
      <c r="AC54" s="11" t="str">
        <f>"5 mcg/kg = "&amp;P54&amp;" micrograms"</f>
        <v>5 mcg/kg = 17.5 micrograms</v>
      </c>
      <c r="AD54" s="12" t="s">
        <v>528</v>
      </c>
      <c r="AE54" s="113" t="str">
        <f t="shared" si="14"/>
        <v>No</v>
      </c>
      <c r="AF54" s="112"/>
      <c r="AG54" s="248" t="s">
        <v>529</v>
      </c>
    </row>
    <row r="55" spans="2:33" s="55" customFormat="1" ht="25" customHeight="1" x14ac:dyDescent="0.2">
      <c r="B55" s="14"/>
      <c r="C55" s="349"/>
      <c r="D55" s="338"/>
      <c r="E55" s="350"/>
      <c r="F55" s="340" t="str">
        <f t="shared" si="2"/>
        <v/>
      </c>
      <c r="G55" s="341" t="str">
        <f t="shared" si="3"/>
        <v/>
      </c>
      <c r="H55" s="349"/>
      <c r="I55" s="12"/>
      <c r="J55" s="339" t="str">
        <f t="shared" si="4"/>
        <v/>
      </c>
      <c r="K55" s="349"/>
      <c r="L55" s="351"/>
      <c r="M55" s="11" t="str">
        <f t="shared" si="5"/>
        <v/>
      </c>
      <c r="N55" s="352"/>
      <c r="O55" s="344" t="str">
        <f t="shared" si="6"/>
        <v/>
      </c>
      <c r="P55" s="340" t="str">
        <f t="shared" si="7"/>
        <v/>
      </c>
      <c r="Q55" s="9" t="str">
        <f t="shared" si="8"/>
        <v/>
      </c>
      <c r="R55" s="343" t="str">
        <f t="shared" si="9"/>
        <v/>
      </c>
      <c r="S55" s="345" t="str">
        <f t="shared" si="0"/>
        <v/>
      </c>
      <c r="T55" s="346"/>
      <c r="U55" s="340" t="str">
        <f t="shared" si="10"/>
        <v/>
      </c>
      <c r="V55" s="9" t="str">
        <f t="shared" si="1"/>
        <v/>
      </c>
      <c r="W55" s="343" t="str">
        <f t="shared" si="11"/>
        <v/>
      </c>
      <c r="X55" s="343" t="str">
        <f t="shared" si="12"/>
        <v/>
      </c>
      <c r="Y55" s="10"/>
      <c r="Z55" s="348"/>
      <c r="AA55" s="317" t="str">
        <f t="shared" si="13"/>
        <v/>
      </c>
      <c r="AB55" s="13"/>
      <c r="AC55" s="11"/>
      <c r="AD55" s="12"/>
      <c r="AE55" s="113" t="str">
        <f t="shared" si="14"/>
        <v/>
      </c>
      <c r="AF55" s="112"/>
      <c r="AG55" s="248"/>
    </row>
    <row r="56" spans="2:33" s="55" customFormat="1" ht="25" customHeight="1" x14ac:dyDescent="0.2">
      <c r="B56" s="14" t="s">
        <v>127</v>
      </c>
      <c r="C56" s="349">
        <v>6</v>
      </c>
      <c r="D56" s="338" t="s">
        <v>7</v>
      </c>
      <c r="E56" s="350">
        <v>2</v>
      </c>
      <c r="F56" s="340">
        <f t="shared" si="2"/>
        <v>3</v>
      </c>
      <c r="G56" s="341" t="str">
        <f t="shared" si="3"/>
        <v>mg /mL</v>
      </c>
      <c r="H56" s="349">
        <v>0</v>
      </c>
      <c r="I56" s="12">
        <v>6</v>
      </c>
      <c r="J56" s="339" t="str">
        <f t="shared" si="4"/>
        <v>mg</v>
      </c>
      <c r="K56" s="349" t="s">
        <v>15</v>
      </c>
      <c r="L56" s="351">
        <v>0.1</v>
      </c>
      <c r="M56" s="11" t="str">
        <f t="shared" si="5"/>
        <v/>
      </c>
      <c r="N56" s="352"/>
      <c r="O56" s="344" t="str">
        <f t="shared" si="6"/>
        <v>mg/kg</v>
      </c>
      <c r="P56" s="340">
        <f t="shared" si="7"/>
        <v>0.35</v>
      </c>
      <c r="Q56" s="9" t="str">
        <f t="shared" si="8"/>
        <v/>
      </c>
      <c r="R56" s="343" t="str">
        <f t="shared" si="9"/>
        <v/>
      </c>
      <c r="S56" s="345" t="str">
        <f t="shared" si="0"/>
        <v>mg</v>
      </c>
      <c r="T56" s="346">
        <v>2</v>
      </c>
      <c r="U56" s="340">
        <f t="shared" si="10"/>
        <v>0.12</v>
      </c>
      <c r="V56" s="9" t="str">
        <f t="shared" si="1"/>
        <v/>
      </c>
      <c r="W56" s="343" t="str">
        <f t="shared" si="11"/>
        <v/>
      </c>
      <c r="X56" s="343" t="str">
        <f t="shared" si="12"/>
        <v>mL</v>
      </c>
      <c r="Y56" s="10">
        <v>2</v>
      </c>
      <c r="Z56" s="348"/>
      <c r="AA56" s="317" t="str">
        <f t="shared" si="13"/>
        <v>0.12 mL</v>
      </c>
      <c r="AB56" s="13"/>
      <c r="AC56" s="11" t="str">
        <f>"0.1 mg/kg = "&amp;P56&amp;" mg"</f>
        <v>0.1 mg/kg = 0.35 mg</v>
      </c>
      <c r="AD56" s="12" t="str">
        <f>IFERROR(IF(Admin!$X$61="On","max = 6 mg",0),0)</f>
        <v>max = 6 mg</v>
      </c>
      <c r="AE56" s="113" t="str">
        <f t="shared" si="14"/>
        <v>No</v>
      </c>
      <c r="AF56" s="112"/>
      <c r="AG56" s="248" t="s">
        <v>466</v>
      </c>
    </row>
    <row r="57" spans="2:33" s="55" customFormat="1" ht="25" customHeight="1" x14ac:dyDescent="0.2">
      <c r="B57" s="14" t="s">
        <v>347</v>
      </c>
      <c r="C57" s="349">
        <v>6</v>
      </c>
      <c r="D57" s="338" t="s">
        <v>7</v>
      </c>
      <c r="E57" s="350">
        <v>2</v>
      </c>
      <c r="F57" s="340">
        <f t="shared" si="2"/>
        <v>3</v>
      </c>
      <c r="G57" s="341" t="str">
        <f t="shared" si="3"/>
        <v>mg /mL</v>
      </c>
      <c r="H57" s="349">
        <v>0</v>
      </c>
      <c r="I57" s="12">
        <v>12</v>
      </c>
      <c r="J57" s="339" t="str">
        <f t="shared" si="4"/>
        <v>mg</v>
      </c>
      <c r="K57" s="349" t="s">
        <v>15</v>
      </c>
      <c r="L57" s="351">
        <v>0.2</v>
      </c>
      <c r="M57" s="11" t="str">
        <f t="shared" si="5"/>
        <v/>
      </c>
      <c r="N57" s="352"/>
      <c r="O57" s="344" t="str">
        <f t="shared" si="6"/>
        <v>mg/kg</v>
      </c>
      <c r="P57" s="340">
        <f t="shared" si="7"/>
        <v>0.7</v>
      </c>
      <c r="Q57" s="9" t="str">
        <f t="shared" si="8"/>
        <v/>
      </c>
      <c r="R57" s="343" t="str">
        <f t="shared" si="9"/>
        <v/>
      </c>
      <c r="S57" s="345" t="str">
        <f t="shared" si="0"/>
        <v>mg</v>
      </c>
      <c r="T57" s="346">
        <v>2</v>
      </c>
      <c r="U57" s="340">
        <f t="shared" si="10"/>
        <v>0.23</v>
      </c>
      <c r="V57" s="9" t="str">
        <f t="shared" si="1"/>
        <v/>
      </c>
      <c r="W57" s="343" t="str">
        <f t="shared" si="11"/>
        <v/>
      </c>
      <c r="X57" s="343" t="str">
        <f t="shared" si="12"/>
        <v>mL</v>
      </c>
      <c r="Y57" s="10">
        <v>2</v>
      </c>
      <c r="Z57" s="348"/>
      <c r="AA57" s="317" t="str">
        <f t="shared" si="13"/>
        <v>0.23 mL</v>
      </c>
      <c r="AB57" s="13"/>
      <c r="AC57" s="11" t="str">
        <f>"0.2 mg/kg = "&amp;P57&amp;" mg"</f>
        <v>0.2 mg/kg = 0.7 mg</v>
      </c>
      <c r="AD57" s="12" t="str">
        <f>IFERROR(IF(Admin!$X$61="On","max = 12 mg",0),0)</f>
        <v>max = 12 mg</v>
      </c>
      <c r="AE57" s="113" t="str">
        <f t="shared" si="14"/>
        <v>No</v>
      </c>
      <c r="AF57" s="112"/>
      <c r="AG57" s="248" t="s">
        <v>466</v>
      </c>
    </row>
    <row r="58" spans="2:33" s="55" customFormat="1" ht="25" customHeight="1" x14ac:dyDescent="0.2">
      <c r="B58" s="14" t="s">
        <v>348</v>
      </c>
      <c r="C58" s="349">
        <v>6</v>
      </c>
      <c r="D58" s="338" t="s">
        <v>7</v>
      </c>
      <c r="E58" s="350">
        <v>2</v>
      </c>
      <c r="F58" s="340">
        <f t="shared" si="2"/>
        <v>3</v>
      </c>
      <c r="G58" s="341" t="str">
        <f t="shared" si="3"/>
        <v>mg /mL</v>
      </c>
      <c r="H58" s="349">
        <v>0</v>
      </c>
      <c r="I58" s="12">
        <v>12</v>
      </c>
      <c r="J58" s="339" t="str">
        <f t="shared" si="4"/>
        <v>mg</v>
      </c>
      <c r="K58" s="349" t="s">
        <v>15</v>
      </c>
      <c r="L58" s="351">
        <v>0.3</v>
      </c>
      <c r="M58" s="11" t="str">
        <f t="shared" si="5"/>
        <v/>
      </c>
      <c r="N58" s="352"/>
      <c r="O58" s="344" t="str">
        <f t="shared" si="6"/>
        <v>mg/kg</v>
      </c>
      <c r="P58" s="340">
        <f t="shared" si="7"/>
        <v>1.05</v>
      </c>
      <c r="Q58" s="9" t="str">
        <f t="shared" si="8"/>
        <v/>
      </c>
      <c r="R58" s="343" t="str">
        <f t="shared" si="9"/>
        <v/>
      </c>
      <c r="S58" s="345" t="str">
        <f t="shared" si="0"/>
        <v>mg</v>
      </c>
      <c r="T58" s="346">
        <v>2</v>
      </c>
      <c r="U58" s="340">
        <f t="shared" si="10"/>
        <v>0.35</v>
      </c>
      <c r="V58" s="9" t="str">
        <f t="shared" si="1"/>
        <v/>
      </c>
      <c r="W58" s="343" t="str">
        <f t="shared" si="11"/>
        <v/>
      </c>
      <c r="X58" s="343" t="str">
        <f t="shared" si="12"/>
        <v>mL</v>
      </c>
      <c r="Y58" s="10">
        <v>2</v>
      </c>
      <c r="Z58" s="348"/>
      <c r="AA58" s="317" t="str">
        <f t="shared" si="13"/>
        <v>0.35 mL</v>
      </c>
      <c r="AB58" s="13"/>
      <c r="AC58" s="11" t="str">
        <f>"0.3 mg/kg = "&amp;P58&amp;" mg"</f>
        <v>0.3 mg/kg = 1.05 mg</v>
      </c>
      <c r="AD58" s="12" t="str">
        <f>IFERROR(IF(Admin!$X$61="On","max = 12 mg",0),0)</f>
        <v>max = 12 mg</v>
      </c>
      <c r="AE58" s="113" t="str">
        <f t="shared" si="14"/>
        <v>No</v>
      </c>
      <c r="AF58" s="112"/>
      <c r="AG58" s="248" t="s">
        <v>466</v>
      </c>
    </row>
    <row r="59" spans="2:33" s="55" customFormat="1" ht="25" customHeight="1" x14ac:dyDescent="0.2">
      <c r="B59" s="14" t="s">
        <v>436</v>
      </c>
      <c r="C59" s="349"/>
      <c r="D59" s="338"/>
      <c r="E59" s="350"/>
      <c r="F59" s="340" t="str">
        <f t="shared" si="2"/>
        <v/>
      </c>
      <c r="G59" s="341" t="str">
        <f t="shared" si="3"/>
        <v/>
      </c>
      <c r="H59" s="349"/>
      <c r="I59" s="12"/>
      <c r="J59" s="339" t="str">
        <f t="shared" si="4"/>
        <v/>
      </c>
      <c r="K59" s="349"/>
      <c r="L59" s="351"/>
      <c r="M59" s="11" t="str">
        <f t="shared" si="5"/>
        <v/>
      </c>
      <c r="N59" s="352"/>
      <c r="O59" s="344" t="str">
        <f t="shared" si="6"/>
        <v/>
      </c>
      <c r="P59" s="340" t="str">
        <f t="shared" si="7"/>
        <v/>
      </c>
      <c r="Q59" s="9" t="str">
        <f t="shared" si="8"/>
        <v/>
      </c>
      <c r="R59" s="343" t="str">
        <f t="shared" si="9"/>
        <v/>
      </c>
      <c r="S59" s="345" t="str">
        <f t="shared" si="0"/>
        <v/>
      </c>
      <c r="T59" s="346"/>
      <c r="U59" s="340" t="str">
        <f t="shared" si="10"/>
        <v/>
      </c>
      <c r="V59" s="9" t="str">
        <f t="shared" si="1"/>
        <v/>
      </c>
      <c r="W59" s="343" t="str">
        <f t="shared" si="11"/>
        <v/>
      </c>
      <c r="X59" s="343" t="str">
        <f t="shared" si="12"/>
        <v/>
      </c>
      <c r="Y59" s="10"/>
      <c r="Z59" s="348"/>
      <c r="AA59" s="317" t="str">
        <f>AA56&amp;" → "&amp;AA57&amp;" → "&amp;AA58</f>
        <v>0.12 mL → 0.23 mL → 0.35 mL</v>
      </c>
      <c r="AB59" s="13" t="s">
        <v>437</v>
      </c>
      <c r="AC59" s="11" t="str">
        <f>"[0.1mg/kg="&amp;P56&amp;"mg]"&amp;" → [0.2mg/kg="&amp;P57&amp;"mg]"</f>
        <v>[0.1mg/kg=0.35mg] → [0.2mg/kg=0.7mg]</v>
      </c>
      <c r="AD59" s="12" t="str">
        <f>"→ [0.3mg/kg="&amp;P58&amp;"mg]"&amp;IF(Admin!$X$61="On",", max = 12 mg","")</f>
        <v>→ [0.3mg/kg=1.05mg], max = 12 mg</v>
      </c>
      <c r="AE59" s="113" t="str">
        <f t="shared" si="14"/>
        <v/>
      </c>
      <c r="AF59" s="112"/>
      <c r="AG59" s="248" t="s">
        <v>466</v>
      </c>
    </row>
    <row r="60" spans="2:33" s="55" customFormat="1" ht="25" customHeight="1" x14ac:dyDescent="0.2">
      <c r="B60" s="14"/>
      <c r="C60" s="349"/>
      <c r="D60" s="338"/>
      <c r="E60" s="350"/>
      <c r="F60" s="340"/>
      <c r="G60" s="341"/>
      <c r="H60" s="349"/>
      <c r="I60" s="12"/>
      <c r="J60" s="339"/>
      <c r="K60" s="349"/>
      <c r="L60" s="351"/>
      <c r="M60" s="11"/>
      <c r="N60" s="352"/>
      <c r="O60" s="344"/>
      <c r="P60" s="340"/>
      <c r="Q60" s="9"/>
      <c r="R60" s="343"/>
      <c r="S60" s="345"/>
      <c r="T60" s="346"/>
      <c r="U60" s="340"/>
      <c r="V60" s="9"/>
      <c r="W60" s="343"/>
      <c r="X60" s="343"/>
      <c r="Y60" s="10"/>
      <c r="Z60" s="348"/>
      <c r="AA60" s="317"/>
      <c r="AB60" s="13"/>
      <c r="AC60" s="11"/>
      <c r="AD60" s="12"/>
      <c r="AE60" s="113"/>
      <c r="AF60" s="112"/>
      <c r="AG60" s="248"/>
    </row>
    <row r="61" spans="2:33" s="55" customFormat="1" ht="25" customHeight="1" x14ac:dyDescent="0.2">
      <c r="B61" s="14" t="s">
        <v>259</v>
      </c>
      <c r="C61" s="349"/>
      <c r="D61" s="338"/>
      <c r="E61" s="350"/>
      <c r="F61" s="340" t="str">
        <f t="shared" si="2"/>
        <v/>
      </c>
      <c r="G61" s="341" t="str">
        <f t="shared" si="3"/>
        <v/>
      </c>
      <c r="H61" s="349"/>
      <c r="I61" s="12"/>
      <c r="J61" s="339" t="str">
        <f t="shared" si="4"/>
        <v/>
      </c>
      <c r="K61" s="349"/>
      <c r="L61" s="351"/>
      <c r="M61" s="11" t="str">
        <f t="shared" si="5"/>
        <v/>
      </c>
      <c r="N61" s="352"/>
      <c r="O61" s="344" t="str">
        <f t="shared" si="6"/>
        <v/>
      </c>
      <c r="P61" s="340" t="str">
        <f t="shared" si="7"/>
        <v/>
      </c>
      <c r="Q61" s="9" t="str">
        <f t="shared" si="8"/>
        <v/>
      </c>
      <c r="R61" s="343" t="str">
        <f t="shared" si="9"/>
        <v/>
      </c>
      <c r="S61" s="345" t="str">
        <f t="shared" si="0"/>
        <v/>
      </c>
      <c r="T61" s="346"/>
      <c r="U61" s="340" t="str">
        <f t="shared" si="10"/>
        <v/>
      </c>
      <c r="V61" s="9" t="str">
        <f t="shared" si="1"/>
        <v/>
      </c>
      <c r="W61" s="343" t="str">
        <f t="shared" si="11"/>
        <v/>
      </c>
      <c r="X61" s="343" t="str">
        <f t="shared" si="12"/>
        <v/>
      </c>
      <c r="Y61" s="10"/>
      <c r="Z61" s="348"/>
      <c r="AA61" s="273" t="str">
        <f>IF($C$2&lt;11,"Alpha",IF($C$2&lt;21,"Bravo",IF($C$2&lt;=45,"Charlie","Adult standard MTP")))</f>
        <v>Alpha</v>
      </c>
      <c r="AB61" s="13">
        <v>0</v>
      </c>
      <c r="AC61" s="11">
        <v>0</v>
      </c>
      <c r="AD61" s="12">
        <v>0</v>
      </c>
      <c r="AE61" s="113" t="str">
        <f t="shared" si="14"/>
        <v/>
      </c>
      <c r="AF61" s="112"/>
      <c r="AG61" s="248"/>
    </row>
    <row r="62" spans="2:33" s="55" customFormat="1" ht="25" customHeight="1" x14ac:dyDescent="0.2">
      <c r="B62" s="14" t="s">
        <v>162</v>
      </c>
      <c r="C62" s="349">
        <v>500</v>
      </c>
      <c r="D62" s="338" t="s">
        <v>7</v>
      </c>
      <c r="E62" s="350">
        <v>5</v>
      </c>
      <c r="F62" s="340">
        <f t="shared" si="2"/>
        <v>100</v>
      </c>
      <c r="G62" s="341" t="str">
        <f t="shared" si="3"/>
        <v>mg /mL</v>
      </c>
      <c r="H62" s="349">
        <v>0</v>
      </c>
      <c r="I62" s="12">
        <v>1000</v>
      </c>
      <c r="J62" s="339" t="str">
        <f t="shared" si="4"/>
        <v>mg</v>
      </c>
      <c r="K62" s="349" t="s">
        <v>15</v>
      </c>
      <c r="L62" s="351">
        <v>15</v>
      </c>
      <c r="M62" s="11" t="str">
        <f t="shared" si="5"/>
        <v/>
      </c>
      <c r="N62" s="352"/>
      <c r="O62" s="344" t="str">
        <f t="shared" si="6"/>
        <v>mg/kg</v>
      </c>
      <c r="P62" s="340">
        <f t="shared" si="7"/>
        <v>52.5</v>
      </c>
      <c r="Q62" s="9" t="str">
        <f t="shared" si="8"/>
        <v/>
      </c>
      <c r="R62" s="343" t="str">
        <f t="shared" si="9"/>
        <v/>
      </c>
      <c r="S62" s="345" t="str">
        <f t="shared" si="0"/>
        <v>mg</v>
      </c>
      <c r="T62" s="346">
        <v>2</v>
      </c>
      <c r="U62" s="340">
        <f t="shared" si="10"/>
        <v>0.53</v>
      </c>
      <c r="V62" s="9" t="str">
        <f t="shared" si="1"/>
        <v/>
      </c>
      <c r="W62" s="343" t="str">
        <f t="shared" si="11"/>
        <v/>
      </c>
      <c r="X62" s="343" t="str">
        <f t="shared" si="12"/>
        <v>mL</v>
      </c>
      <c r="Y62" s="10">
        <f>IF(C2&lt;10,2,1)</f>
        <v>2</v>
      </c>
      <c r="Z62" s="348"/>
      <c r="AA62" s="317" t="str">
        <f t="shared" si="13"/>
        <v>0.53 mL</v>
      </c>
      <c r="AB62" s="13" t="s">
        <v>134</v>
      </c>
      <c r="AC62" s="11" t="str">
        <f>"15 mg/kg = "&amp;P62&amp;" mg"</f>
        <v>15 mg/kg = 52.5 mg</v>
      </c>
      <c r="AD62" s="12" t="str">
        <f>IFERROR(IF(Admin!$X$61="On","max = 1000 mg",0),0)</f>
        <v>max = 1000 mg</v>
      </c>
      <c r="AE62" s="113" t="str">
        <f t="shared" si="14"/>
        <v>No</v>
      </c>
      <c r="AF62" s="112"/>
      <c r="AG62" s="248" t="s">
        <v>135</v>
      </c>
    </row>
    <row r="63" spans="2:33" s="55" customFormat="1" ht="25" customHeight="1" x14ac:dyDescent="0.2">
      <c r="B63" s="14" t="s">
        <v>136</v>
      </c>
      <c r="C63" s="349">
        <v>300</v>
      </c>
      <c r="D63" s="338" t="s">
        <v>29</v>
      </c>
      <c r="E63" s="350">
        <v>300</v>
      </c>
      <c r="F63" s="340">
        <f t="shared" si="2"/>
        <v>1</v>
      </c>
      <c r="G63" s="341" t="str">
        <f t="shared" si="3"/>
        <v>mL /mL</v>
      </c>
      <c r="H63" s="349">
        <v>0</v>
      </c>
      <c r="I63" s="12">
        <v>1000</v>
      </c>
      <c r="J63" s="339" t="str">
        <f t="shared" si="4"/>
        <v>mL</v>
      </c>
      <c r="K63" s="349" t="s">
        <v>14</v>
      </c>
      <c r="L63" s="351">
        <v>10</v>
      </c>
      <c r="M63" s="11" t="str">
        <f t="shared" si="5"/>
        <v>to</v>
      </c>
      <c r="N63" s="352">
        <v>15</v>
      </c>
      <c r="O63" s="344" t="str">
        <f t="shared" si="6"/>
        <v>mL/kg</v>
      </c>
      <c r="P63" s="340">
        <f t="shared" si="7"/>
        <v>35</v>
      </c>
      <c r="Q63" s="9" t="str">
        <f t="shared" si="8"/>
        <v>to</v>
      </c>
      <c r="R63" s="343">
        <f t="shared" si="9"/>
        <v>52.5</v>
      </c>
      <c r="S63" s="345" t="str">
        <f t="shared" si="0"/>
        <v>mL</v>
      </c>
      <c r="T63" s="346">
        <v>2</v>
      </c>
      <c r="U63" s="340">
        <f t="shared" si="10"/>
        <v>35</v>
      </c>
      <c r="V63" s="9" t="str">
        <f t="shared" si="1"/>
        <v>to</v>
      </c>
      <c r="W63" s="343">
        <f t="shared" si="11"/>
        <v>53</v>
      </c>
      <c r="X63" s="343" t="str">
        <f t="shared" si="12"/>
        <v>mL</v>
      </c>
      <c r="Y63" s="10">
        <v>0</v>
      </c>
      <c r="Z63" s="348"/>
      <c r="AA63" s="317" t="str">
        <f t="shared" si="13"/>
        <v>35 - 53 mL</v>
      </c>
      <c r="AB63" s="13"/>
      <c r="AC63" s="11" t="str">
        <f>"10-15 mL/kg = "&amp;AA63</f>
        <v>10-15 mL/kg = 35 - 53 mL</v>
      </c>
      <c r="AD63" s="12"/>
      <c r="AE63" s="113" t="str">
        <f t="shared" si="14"/>
        <v>No</v>
      </c>
      <c r="AF63" s="112"/>
      <c r="AG63" s="257" t="s">
        <v>257</v>
      </c>
    </row>
    <row r="64" spans="2:33" s="55" customFormat="1" ht="25" customHeight="1" x14ac:dyDescent="0.2">
      <c r="B64" s="14" t="s">
        <v>137</v>
      </c>
      <c r="C64" s="349">
        <v>300</v>
      </c>
      <c r="D64" s="338" t="s">
        <v>29</v>
      </c>
      <c r="E64" s="350">
        <v>300</v>
      </c>
      <c r="F64" s="340">
        <f t="shared" si="2"/>
        <v>1</v>
      </c>
      <c r="G64" s="341" t="str">
        <f t="shared" si="3"/>
        <v>mL /mL</v>
      </c>
      <c r="H64" s="349">
        <v>0</v>
      </c>
      <c r="I64" s="12">
        <v>1000</v>
      </c>
      <c r="J64" s="339" t="str">
        <f t="shared" si="4"/>
        <v>mL</v>
      </c>
      <c r="K64" s="349" t="s">
        <v>14</v>
      </c>
      <c r="L64" s="351">
        <v>10</v>
      </c>
      <c r="M64" s="11" t="str">
        <f t="shared" si="5"/>
        <v>to</v>
      </c>
      <c r="N64" s="352">
        <v>20</v>
      </c>
      <c r="O64" s="344" t="str">
        <f t="shared" si="6"/>
        <v>mL/kg</v>
      </c>
      <c r="P64" s="340">
        <f t="shared" si="7"/>
        <v>35</v>
      </c>
      <c r="Q64" s="9" t="str">
        <f t="shared" si="8"/>
        <v>to</v>
      </c>
      <c r="R64" s="343">
        <f t="shared" si="9"/>
        <v>70</v>
      </c>
      <c r="S64" s="345" t="str">
        <f t="shared" si="0"/>
        <v>mL</v>
      </c>
      <c r="T64" s="346">
        <v>2</v>
      </c>
      <c r="U64" s="340">
        <f t="shared" si="10"/>
        <v>35</v>
      </c>
      <c r="V64" s="9" t="str">
        <f t="shared" si="1"/>
        <v>to</v>
      </c>
      <c r="W64" s="343">
        <f t="shared" si="11"/>
        <v>70</v>
      </c>
      <c r="X64" s="343" t="str">
        <f t="shared" si="12"/>
        <v>mL</v>
      </c>
      <c r="Y64" s="10">
        <v>0</v>
      </c>
      <c r="Z64" s="348"/>
      <c r="AA64" s="317" t="str">
        <f t="shared" si="13"/>
        <v>35 - 70 mL</v>
      </c>
      <c r="AB64" s="13"/>
      <c r="AC64" s="11" t="str">
        <f>"10-20 mL/kg = "&amp;AA64</f>
        <v>10-20 mL/kg = 35 - 70 mL</v>
      </c>
      <c r="AD64" s="12" t="s">
        <v>141</v>
      </c>
      <c r="AE64" s="113" t="str">
        <f t="shared" si="14"/>
        <v>No</v>
      </c>
      <c r="AF64" s="112"/>
      <c r="AG64" s="248" t="s">
        <v>140</v>
      </c>
    </row>
    <row r="65" spans="2:33" s="55" customFormat="1" ht="25" customHeight="1" x14ac:dyDescent="0.2">
      <c r="B65" s="14" t="s">
        <v>138</v>
      </c>
      <c r="C65" s="349">
        <v>300</v>
      </c>
      <c r="D65" s="338" t="s">
        <v>29</v>
      </c>
      <c r="E65" s="350">
        <v>300</v>
      </c>
      <c r="F65" s="340">
        <f t="shared" si="2"/>
        <v>1</v>
      </c>
      <c r="G65" s="341" t="str">
        <f t="shared" si="3"/>
        <v>mL /mL</v>
      </c>
      <c r="H65" s="349">
        <v>0</v>
      </c>
      <c r="I65" s="12">
        <v>1000</v>
      </c>
      <c r="J65" s="339" t="str">
        <f t="shared" si="4"/>
        <v>mL</v>
      </c>
      <c r="K65" s="349" t="s">
        <v>14</v>
      </c>
      <c r="L65" s="351">
        <v>5</v>
      </c>
      <c r="M65" s="11" t="str">
        <f t="shared" si="5"/>
        <v>to</v>
      </c>
      <c r="N65" s="352">
        <v>10</v>
      </c>
      <c r="O65" s="344" t="str">
        <f t="shared" si="6"/>
        <v>mL/kg</v>
      </c>
      <c r="P65" s="340">
        <f t="shared" si="7"/>
        <v>17.5</v>
      </c>
      <c r="Q65" s="9" t="str">
        <f t="shared" si="8"/>
        <v>to</v>
      </c>
      <c r="R65" s="343">
        <f t="shared" si="9"/>
        <v>35</v>
      </c>
      <c r="S65" s="345" t="str">
        <f t="shared" si="0"/>
        <v>mL</v>
      </c>
      <c r="T65" s="346">
        <v>2</v>
      </c>
      <c r="U65" s="340">
        <f t="shared" si="10"/>
        <v>18</v>
      </c>
      <c r="V65" s="9" t="str">
        <f t="shared" si="1"/>
        <v>to</v>
      </c>
      <c r="W65" s="343">
        <f t="shared" si="11"/>
        <v>35</v>
      </c>
      <c r="X65" s="343" t="str">
        <f t="shared" si="12"/>
        <v>mL</v>
      </c>
      <c r="Y65" s="10">
        <v>0</v>
      </c>
      <c r="Z65" s="348"/>
      <c r="AA65" s="317" t="str">
        <f t="shared" si="13"/>
        <v>18 - 35 mL</v>
      </c>
      <c r="AB65" s="13"/>
      <c r="AC65" s="11" t="str">
        <f>"5-10 mL/kg = "&amp;AA65</f>
        <v>5-10 mL/kg = 18 - 35 mL</v>
      </c>
      <c r="AD65" s="12" t="s">
        <v>142</v>
      </c>
      <c r="AE65" s="113" t="str">
        <f t="shared" si="14"/>
        <v>No</v>
      </c>
      <c r="AF65" s="112"/>
      <c r="AG65" s="248"/>
    </row>
    <row r="66" spans="2:33" s="55" customFormat="1" ht="25" customHeight="1" x14ac:dyDescent="0.2">
      <c r="B66" s="14" t="s">
        <v>139</v>
      </c>
      <c r="C66" s="349">
        <v>300</v>
      </c>
      <c r="D66" s="338" t="s">
        <v>29</v>
      </c>
      <c r="E66" s="350">
        <v>300</v>
      </c>
      <c r="F66" s="340">
        <f t="shared" si="2"/>
        <v>1</v>
      </c>
      <c r="G66" s="341" t="str">
        <f t="shared" si="3"/>
        <v>mL /mL</v>
      </c>
      <c r="H66" s="349">
        <v>0</v>
      </c>
      <c r="I66" s="12">
        <v>1000</v>
      </c>
      <c r="J66" s="339" t="str">
        <f t="shared" si="4"/>
        <v>mL</v>
      </c>
      <c r="K66" s="349" t="s">
        <v>15</v>
      </c>
      <c r="L66" s="351">
        <v>10</v>
      </c>
      <c r="M66" s="11" t="str">
        <f t="shared" si="5"/>
        <v/>
      </c>
      <c r="N66" s="352"/>
      <c r="O66" s="344" t="str">
        <f t="shared" si="6"/>
        <v>mL/kg</v>
      </c>
      <c r="P66" s="340">
        <f t="shared" si="7"/>
        <v>35</v>
      </c>
      <c r="Q66" s="9" t="str">
        <f t="shared" si="8"/>
        <v/>
      </c>
      <c r="R66" s="343" t="str">
        <f t="shared" si="9"/>
        <v/>
      </c>
      <c r="S66" s="345" t="str">
        <f t="shared" si="0"/>
        <v>mL</v>
      </c>
      <c r="T66" s="346">
        <v>2</v>
      </c>
      <c r="U66" s="340">
        <f t="shared" si="10"/>
        <v>35</v>
      </c>
      <c r="V66" s="9" t="str">
        <f t="shared" si="1"/>
        <v/>
      </c>
      <c r="W66" s="343" t="str">
        <f t="shared" si="11"/>
        <v/>
      </c>
      <c r="X66" s="343" t="str">
        <f t="shared" si="12"/>
        <v>mL</v>
      </c>
      <c r="Y66" s="10">
        <v>0</v>
      </c>
      <c r="Z66" s="348"/>
      <c r="AA66" s="317" t="str">
        <f t="shared" si="13"/>
        <v>35 mL</v>
      </c>
      <c r="AB66" s="13"/>
      <c r="AC66" s="11" t="str">
        <f>"10 mL/kg = "&amp;AA66</f>
        <v>10 mL/kg = 35 mL</v>
      </c>
      <c r="AD66" s="12" t="s">
        <v>143</v>
      </c>
      <c r="AE66" s="113" t="str">
        <f t="shared" si="14"/>
        <v>No</v>
      </c>
      <c r="AF66" s="112"/>
      <c r="AG66" s="248"/>
    </row>
    <row r="67" spans="2:33" s="55" customFormat="1" ht="25" customHeight="1" x14ac:dyDescent="0.2">
      <c r="B67" s="14" t="s">
        <v>614</v>
      </c>
      <c r="C67" s="349">
        <v>10</v>
      </c>
      <c r="D67" s="338" t="s">
        <v>29</v>
      </c>
      <c r="E67" s="350">
        <v>10</v>
      </c>
      <c r="F67" s="340">
        <f t="shared" si="2"/>
        <v>1</v>
      </c>
      <c r="G67" s="341" t="str">
        <f t="shared" si="3"/>
        <v>mL /mL</v>
      </c>
      <c r="H67" s="349">
        <v>0</v>
      </c>
      <c r="I67" s="12">
        <v>30</v>
      </c>
      <c r="J67" s="339" t="str">
        <f t="shared" si="4"/>
        <v>mL</v>
      </c>
      <c r="K67" s="349" t="s">
        <v>15</v>
      </c>
      <c r="L67" s="351">
        <v>0.3</v>
      </c>
      <c r="M67" s="11" t="str">
        <f t="shared" si="5"/>
        <v/>
      </c>
      <c r="N67" s="352"/>
      <c r="O67" s="344" t="str">
        <f t="shared" si="6"/>
        <v>mL/kg</v>
      </c>
      <c r="P67" s="340">
        <f t="shared" si="7"/>
        <v>1.05</v>
      </c>
      <c r="Q67" s="9" t="str">
        <f t="shared" si="8"/>
        <v/>
      </c>
      <c r="R67" s="343" t="str">
        <f t="shared" si="9"/>
        <v/>
      </c>
      <c r="S67" s="345" t="str">
        <f t="shared" si="0"/>
        <v>mL</v>
      </c>
      <c r="T67" s="346">
        <v>2</v>
      </c>
      <c r="U67" s="340">
        <f t="shared" si="10"/>
        <v>1.1000000000000001</v>
      </c>
      <c r="V67" s="9"/>
      <c r="W67" s="343" t="str">
        <f t="shared" si="11"/>
        <v/>
      </c>
      <c r="X67" s="343" t="str">
        <f t="shared" si="12"/>
        <v>mL</v>
      </c>
      <c r="Y67" s="10">
        <v>1</v>
      </c>
      <c r="Z67" s="348"/>
      <c r="AA67" s="317" t="str">
        <f t="shared" si="13"/>
        <v>1.1 mL</v>
      </c>
      <c r="AB67" s="13"/>
      <c r="AC67" s="11" t="str">
        <f>"0.3 mL/kg = "&amp;AA67</f>
        <v>0.3 mL/kg = 1.1 mL</v>
      </c>
      <c r="AD67" s="12" t="str">
        <f>IF(Admin!$X$61="On","max = 30 mL.","")&amp;" Aim ionised Ca &gt; 1.1 mmol/L"</f>
        <v>max = 30 mL. Aim ionised Ca &gt; 1.1 mmol/L</v>
      </c>
      <c r="AE67" s="113" t="str">
        <f t="shared" si="14"/>
        <v>No</v>
      </c>
      <c r="AF67" s="112"/>
      <c r="AG67" s="248" t="s">
        <v>135</v>
      </c>
    </row>
    <row r="68" spans="2:33" s="55" customFormat="1" ht="25" customHeight="1" x14ac:dyDescent="0.2">
      <c r="B68" s="14"/>
      <c r="C68" s="349"/>
      <c r="D68" s="338"/>
      <c r="E68" s="350"/>
      <c r="F68" s="340" t="str">
        <f t="shared" si="2"/>
        <v/>
      </c>
      <c r="G68" s="341" t="str">
        <f t="shared" si="3"/>
        <v/>
      </c>
      <c r="H68" s="349"/>
      <c r="I68" s="12"/>
      <c r="J68" s="339" t="str">
        <f t="shared" si="4"/>
        <v/>
      </c>
      <c r="K68" s="349"/>
      <c r="L68" s="351"/>
      <c r="M68" s="11" t="str">
        <f t="shared" si="5"/>
        <v/>
      </c>
      <c r="N68" s="352"/>
      <c r="O68" s="344" t="str">
        <f t="shared" si="6"/>
        <v/>
      </c>
      <c r="P68" s="340" t="str">
        <f t="shared" si="7"/>
        <v/>
      </c>
      <c r="Q68" s="9" t="str">
        <f t="shared" si="8"/>
        <v/>
      </c>
      <c r="R68" s="343"/>
      <c r="S68" s="345" t="str">
        <f t="shared" si="0"/>
        <v/>
      </c>
      <c r="T68" s="346"/>
      <c r="U68" s="340" t="str">
        <f t="shared" si="10"/>
        <v/>
      </c>
      <c r="V68" s="9"/>
      <c r="W68" s="343"/>
      <c r="X68" s="343" t="str">
        <f t="shared" si="12"/>
        <v/>
      </c>
      <c r="Y68" s="10"/>
      <c r="Z68" s="348"/>
      <c r="AA68" s="317" t="str">
        <f t="shared" si="13"/>
        <v/>
      </c>
      <c r="AB68" s="13"/>
      <c r="AC68" s="11"/>
      <c r="AD68" s="12"/>
      <c r="AE68" s="113" t="str">
        <f t="shared" si="14"/>
        <v/>
      </c>
      <c r="AF68" s="112"/>
      <c r="AG68" s="248"/>
    </row>
    <row r="69" spans="2:33" s="55" customFormat="1" ht="25" customHeight="1" x14ac:dyDescent="0.2">
      <c r="B69" s="14" t="s">
        <v>390</v>
      </c>
      <c r="C69" s="349"/>
      <c r="D69" s="338" t="s">
        <v>7</v>
      </c>
      <c r="E69" s="350"/>
      <c r="F69" s="340" t="str">
        <f t="shared" si="2"/>
        <v/>
      </c>
      <c r="G69" s="341" t="str">
        <f t="shared" si="3"/>
        <v>mg /mL</v>
      </c>
      <c r="H69" s="349">
        <v>0</v>
      </c>
      <c r="I69" s="12">
        <v>2000</v>
      </c>
      <c r="J69" s="339" t="str">
        <f t="shared" si="4"/>
        <v>mg</v>
      </c>
      <c r="K69" s="349" t="s">
        <v>15</v>
      </c>
      <c r="L69" s="351">
        <v>50</v>
      </c>
      <c r="M69" s="11" t="str">
        <f t="shared" si="5"/>
        <v/>
      </c>
      <c r="N69" s="352"/>
      <c r="O69" s="344" t="str">
        <f t="shared" si="6"/>
        <v>mg/kg</v>
      </c>
      <c r="P69" s="435">
        <f t="shared" ref="P69:P75" si="68">IFERROR(MROUND(IF($L69=0,"",IF(($L69*$C$2)&lt;$H69,$H69,IF(($L69*$C$2)&gt;$I69,$I69,($L69*$C$2)))),5),"")</f>
        <v>175</v>
      </c>
      <c r="Q69" s="9" t="str">
        <f t="shared" si="8"/>
        <v/>
      </c>
      <c r="R69" s="343"/>
      <c r="S69" s="345" t="str">
        <f t="shared" si="0"/>
        <v>mg</v>
      </c>
      <c r="T69" s="346">
        <v>1</v>
      </c>
      <c r="U69" s="340" t="str">
        <f t="shared" si="10"/>
        <v/>
      </c>
      <c r="V69" s="9"/>
      <c r="W69" s="343"/>
      <c r="X69" s="343" t="str">
        <f t="shared" si="12"/>
        <v/>
      </c>
      <c r="Y69" s="10"/>
      <c r="Z69" s="348"/>
      <c r="AA69" s="273" t="str">
        <f>IF($P69&gt;=1000,ROUND(($P69/1000),1)&amp;" gram Q6H",$P69&amp;" mg Q6H")</f>
        <v>175 mg Q6H</v>
      </c>
      <c r="AB69" s="13"/>
      <c r="AC69" s="11" t="str">
        <f>"50 mg/kg = "&amp;P69&amp;" mg"</f>
        <v>50 mg/kg = 175 mg</v>
      </c>
      <c r="AD69" s="12" t="str">
        <f>IFERROR(IF(Admin!$X$61="On","max = 2 gram",0),0)</f>
        <v>max = 2 gram</v>
      </c>
      <c r="AE69" s="113" t="str">
        <f t="shared" si="14"/>
        <v/>
      </c>
      <c r="AF69" s="112"/>
      <c r="AG69" s="248" t="s">
        <v>392</v>
      </c>
    </row>
    <row r="70" spans="2:33" s="55" customFormat="1" ht="25" customHeight="1" x14ac:dyDescent="0.2">
      <c r="B70" s="14" t="s">
        <v>334</v>
      </c>
      <c r="C70" s="349"/>
      <c r="D70" s="338" t="s">
        <v>7</v>
      </c>
      <c r="E70" s="350"/>
      <c r="F70" s="340" t="str">
        <f t="shared" si="2"/>
        <v/>
      </c>
      <c r="G70" s="341" t="str">
        <f t="shared" si="3"/>
        <v>mg /mL</v>
      </c>
      <c r="H70" s="349">
        <v>0</v>
      </c>
      <c r="I70" s="12">
        <v>1200</v>
      </c>
      <c r="J70" s="339" t="str">
        <f t="shared" si="4"/>
        <v>mg</v>
      </c>
      <c r="K70" s="349" t="s">
        <v>15</v>
      </c>
      <c r="L70" s="351">
        <v>30</v>
      </c>
      <c r="M70" s="11" t="str">
        <f t="shared" si="5"/>
        <v/>
      </c>
      <c r="N70" s="352"/>
      <c r="O70" s="344" t="str">
        <f t="shared" si="6"/>
        <v>mg/kg</v>
      </c>
      <c r="P70" s="435">
        <f t="shared" si="68"/>
        <v>105</v>
      </c>
      <c r="Q70" s="9" t="str">
        <f t="shared" si="8"/>
        <v/>
      </c>
      <c r="R70" s="343"/>
      <c r="S70" s="345" t="str">
        <f t="shared" si="0"/>
        <v>mg</v>
      </c>
      <c r="T70" s="346">
        <v>1</v>
      </c>
      <c r="U70" s="340" t="str">
        <f t="shared" si="10"/>
        <v/>
      </c>
      <c r="V70" s="9"/>
      <c r="W70" s="343"/>
      <c r="X70" s="343" t="str">
        <f t="shared" si="12"/>
        <v/>
      </c>
      <c r="Y70" s="10"/>
      <c r="Z70" s="348"/>
      <c r="AA70" s="273" t="str">
        <f>IF($P70&gt;=1000,ROUND(($P70/1000),1)&amp;" gram Q8H",$P70&amp;" mg Q8H")</f>
        <v>105 mg Q8H</v>
      </c>
      <c r="AB70" s="13"/>
      <c r="AC70" s="11" t="str">
        <f>"30 mg/kg = "&amp;P70&amp;" mg"</f>
        <v>30 mg/kg = 105 mg</v>
      </c>
      <c r="AD70" s="12" t="str">
        <f>IFERROR(IF(Admin!$X$61="On","max = 1.2 gram",0),0)</f>
        <v>max = 1.2 gram</v>
      </c>
      <c r="AE70" s="113" t="str">
        <f t="shared" si="14"/>
        <v/>
      </c>
      <c r="AF70" s="112"/>
      <c r="AG70" s="248" t="s">
        <v>467</v>
      </c>
    </row>
    <row r="71" spans="2:33" s="55" customFormat="1" ht="25" customHeight="1" x14ac:dyDescent="0.2">
      <c r="B71" s="14" t="s">
        <v>157</v>
      </c>
      <c r="C71" s="349"/>
      <c r="D71" s="338" t="s">
        <v>7</v>
      </c>
      <c r="E71" s="350"/>
      <c r="F71" s="340" t="str">
        <f t="shared" si="2"/>
        <v/>
      </c>
      <c r="G71" s="341" t="str">
        <f t="shared" si="3"/>
        <v>mg /mL</v>
      </c>
      <c r="H71" s="349">
        <v>0</v>
      </c>
      <c r="I71" s="12">
        <v>2000</v>
      </c>
      <c r="J71" s="339" t="str">
        <f t="shared" si="4"/>
        <v>mg</v>
      </c>
      <c r="K71" s="349" t="s">
        <v>15</v>
      </c>
      <c r="L71" s="351">
        <v>50</v>
      </c>
      <c r="M71" s="11" t="str">
        <f t="shared" si="5"/>
        <v/>
      </c>
      <c r="N71" s="352"/>
      <c r="O71" s="344" t="str">
        <f t="shared" si="6"/>
        <v>mg/kg</v>
      </c>
      <c r="P71" s="435">
        <f t="shared" si="68"/>
        <v>175</v>
      </c>
      <c r="Q71" s="9" t="str">
        <f t="shared" si="8"/>
        <v/>
      </c>
      <c r="R71" s="343"/>
      <c r="S71" s="345" t="str">
        <f t="shared" si="0"/>
        <v>mg</v>
      </c>
      <c r="T71" s="346">
        <v>1</v>
      </c>
      <c r="U71" s="340" t="str">
        <f t="shared" si="10"/>
        <v/>
      </c>
      <c r="V71" s="9"/>
      <c r="W71" s="343"/>
      <c r="X71" s="343" t="str">
        <f t="shared" si="12"/>
        <v/>
      </c>
      <c r="Y71" s="10"/>
      <c r="Z71" s="348"/>
      <c r="AA71" s="273" t="str">
        <f>IF($P71&gt;=1000,ROUND(($P71/1000),1)&amp;" gram Q8H "&amp;CHAR(10)&amp;"(Q6H in meningitis)",$P71&amp;" mg Q8H "&amp;CHAR(10)&amp;"(Q6H in meningitis)")</f>
        <v>175 mg Q8H 
(Q6H in meningitis)</v>
      </c>
      <c r="AB71" s="13"/>
      <c r="AC71" s="11" t="str">
        <f>"50 mg/kg = "&amp;P71&amp;" mg"</f>
        <v>50 mg/kg = 175 mg</v>
      </c>
      <c r="AD71" s="12" t="str">
        <f>IFERROR(IF(Admin!$X$61="On","max = 2 gram",0),0)</f>
        <v>max = 2 gram</v>
      </c>
      <c r="AE71" s="113" t="str">
        <f t="shared" si="14"/>
        <v/>
      </c>
      <c r="AF71" s="112"/>
      <c r="AG71" s="248" t="s">
        <v>468</v>
      </c>
    </row>
    <row r="72" spans="2:33" s="55" customFormat="1" ht="25" customHeight="1" x14ac:dyDescent="0.2">
      <c r="B72" s="14" t="s">
        <v>469</v>
      </c>
      <c r="C72" s="349"/>
      <c r="D72" s="338" t="s">
        <v>7</v>
      </c>
      <c r="E72" s="350"/>
      <c r="F72" s="340" t="str">
        <f t="shared" si="2"/>
        <v/>
      </c>
      <c r="G72" s="341" t="str">
        <f t="shared" si="3"/>
        <v>mg /mL</v>
      </c>
      <c r="H72" s="349">
        <v>0</v>
      </c>
      <c r="I72" s="12">
        <v>2000</v>
      </c>
      <c r="J72" s="339" t="str">
        <f t="shared" si="4"/>
        <v>mg</v>
      </c>
      <c r="K72" s="349" t="s">
        <v>15</v>
      </c>
      <c r="L72" s="351">
        <v>100</v>
      </c>
      <c r="M72" s="11" t="str">
        <f t="shared" si="5"/>
        <v/>
      </c>
      <c r="N72" s="352"/>
      <c r="O72" s="344" t="str">
        <f t="shared" si="6"/>
        <v>mg/kg</v>
      </c>
      <c r="P72" s="435">
        <f t="shared" si="68"/>
        <v>350</v>
      </c>
      <c r="Q72" s="9" t="str">
        <f t="shared" si="8"/>
        <v/>
      </c>
      <c r="R72" s="343"/>
      <c r="S72" s="345" t="str">
        <f t="shared" si="0"/>
        <v>mg</v>
      </c>
      <c r="T72" s="346">
        <v>1</v>
      </c>
      <c r="U72" s="340" t="str">
        <f t="shared" si="10"/>
        <v/>
      </c>
      <c r="V72" s="9"/>
      <c r="W72" s="343"/>
      <c r="X72" s="343" t="str">
        <f t="shared" si="12"/>
        <v/>
      </c>
      <c r="Y72" s="10"/>
      <c r="Z72" s="348"/>
      <c r="AA72" s="273" t="str">
        <f>IF($P72&gt;=1000,ROUND(($P72/1000),1)&amp;" gram Daily "&amp;CHAR(10)&amp;"(Q12H in meningitis)",$P72&amp;" mg Daily "&amp;CHAR(10)&amp;"(Q12H in meningitis)")</f>
        <v>350 mg Daily 
(Q12H in meningitis)</v>
      </c>
      <c r="AB72" s="13"/>
      <c r="AC72" s="11" t="str">
        <f>"100 mg/kg = "&amp;P72&amp;" mg"</f>
        <v>100 mg/kg = 350 mg</v>
      </c>
      <c r="AD72" s="12" t="str">
        <f>IFERROR(IF(Admin!$X$61="On","max = 2 gram",0),0)</f>
        <v>max = 2 gram</v>
      </c>
      <c r="AE72" s="113" t="str">
        <f t="shared" si="14"/>
        <v/>
      </c>
      <c r="AF72" s="112"/>
      <c r="AG72" s="248" t="s">
        <v>470</v>
      </c>
    </row>
    <row r="73" spans="2:33" s="55" customFormat="1" ht="25" customHeight="1" x14ac:dyDescent="0.2">
      <c r="B73" s="14" t="s">
        <v>765</v>
      </c>
      <c r="C73" s="349"/>
      <c r="D73" s="338" t="s">
        <v>7</v>
      </c>
      <c r="E73" s="350"/>
      <c r="F73" s="340" t="str">
        <f t="shared" si="2"/>
        <v/>
      </c>
      <c r="G73" s="341" t="str">
        <f t="shared" si="3"/>
        <v>mg /mL</v>
      </c>
      <c r="H73" s="349">
        <v>0</v>
      </c>
      <c r="I73" s="12">
        <v>2000</v>
      </c>
      <c r="J73" s="339" t="str">
        <f t="shared" ref="J73" si="69">IF(D73="","",D73)</f>
        <v>mg</v>
      </c>
      <c r="K73" s="349" t="s">
        <v>14</v>
      </c>
      <c r="L73" s="351">
        <v>30</v>
      </c>
      <c r="M73" s="11" t="str">
        <f t="shared" ref="M73" si="70">IF(K73="Yes","to","")</f>
        <v>to</v>
      </c>
      <c r="N73" s="352">
        <v>50</v>
      </c>
      <c r="O73" s="344" t="str">
        <f t="shared" si="6"/>
        <v>mg/kg</v>
      </c>
      <c r="P73" s="435">
        <f t="shared" si="68"/>
        <v>105</v>
      </c>
      <c r="Q73" s="9" t="str">
        <f t="shared" si="8"/>
        <v>to</v>
      </c>
      <c r="R73" s="343">
        <f>IFERROR(MROUND(IF($N73=0,"",IF(($N73*$C$2)&lt;$H73,$H73,IF(($N73*$C$2)&gt;$I73,$I73,($N73*$C$2)))),5),"")</f>
        <v>175</v>
      </c>
      <c r="S73" s="345" t="str">
        <f t="shared" ref="S73" si="71">IF(D73="","",D73)</f>
        <v>mg</v>
      </c>
      <c r="T73" s="346">
        <v>1</v>
      </c>
      <c r="U73" s="340" t="str">
        <f t="shared" ref="U73" si="72">IFERROR(ROUND(($P73/$F73),Y73),"")</f>
        <v/>
      </c>
      <c r="V73" s="9"/>
      <c r="W73" s="343"/>
      <c r="X73" s="343" t="str">
        <f t="shared" ref="X73" si="73">IF(U73="","","mL")</f>
        <v/>
      </c>
      <c r="Y73" s="10"/>
      <c r="Z73" s="348"/>
      <c r="AA73" s="273" t="str">
        <f>IF($P73=$R73,IF($P73&gt;=1000,ROUND(($P73/1000),1)&amp;" gram",$P73&amp;" mg"),IF($P73&gt;=1000,ROUND(($P73/1000),1),$P73&amp;IF($R73&lt;1000,""," mg"))&amp;" - "&amp;IF($R73&gt;=1000,ROUND(($R73/1000),1)&amp;" gram",$R73&amp;" mg"))&amp;" Q8H"</f>
        <v>105 - 175 mg Q8H</v>
      </c>
      <c r="AB73" s="13"/>
      <c r="AC73" s="11" t="str">
        <f>"30-50 mg/kg = "&amp;LEFT(AA73,LEN(AA73)-4)</f>
        <v>30-50 mg/kg = 105 - 175 mg</v>
      </c>
      <c r="AD73" s="12" t="str">
        <f>IFERROR(IF(Admin!$X$61="On","max = 2 gram",0),0)</f>
        <v>max = 2 gram</v>
      </c>
      <c r="AE73" s="113" t="str">
        <f t="shared" si="14"/>
        <v/>
      </c>
      <c r="AF73" s="112"/>
      <c r="AG73" s="248" t="s">
        <v>766</v>
      </c>
    </row>
    <row r="74" spans="2:33" s="55" customFormat="1" ht="25" customHeight="1" x14ac:dyDescent="0.2">
      <c r="B74" s="14" t="s">
        <v>158</v>
      </c>
      <c r="C74" s="349"/>
      <c r="D74" s="338" t="s">
        <v>7</v>
      </c>
      <c r="E74" s="350"/>
      <c r="F74" s="340" t="str">
        <f t="shared" si="2"/>
        <v/>
      </c>
      <c r="G74" s="341" t="str">
        <f t="shared" si="3"/>
        <v>mg /mL</v>
      </c>
      <c r="H74" s="349">
        <v>0</v>
      </c>
      <c r="I74" s="12">
        <v>1500</v>
      </c>
      <c r="J74" s="339" t="str">
        <f t="shared" si="4"/>
        <v>mg</v>
      </c>
      <c r="K74" s="349" t="s">
        <v>14</v>
      </c>
      <c r="L74" s="351">
        <v>30</v>
      </c>
      <c r="M74" s="11" t="str">
        <f t="shared" si="5"/>
        <v>to</v>
      </c>
      <c r="N74" s="352">
        <v>50</v>
      </c>
      <c r="O74" s="344" t="str">
        <f t="shared" si="6"/>
        <v>mg/kg</v>
      </c>
      <c r="P74" s="435">
        <f t="shared" si="68"/>
        <v>105</v>
      </c>
      <c r="Q74" s="9" t="str">
        <f t="shared" si="8"/>
        <v>to</v>
      </c>
      <c r="R74" s="436">
        <f>IFERROR(MROUND(IF($N74=0,"",IF(($N74*$C$2)&lt;$H74,$H74,IF(($N74*$C$2)&gt;$I74,$I74,($N74*$C$2)))),5),"")</f>
        <v>175</v>
      </c>
      <c r="S74" s="345" t="str">
        <f t="shared" si="0"/>
        <v>mg</v>
      </c>
      <c r="T74" s="346">
        <v>1</v>
      </c>
      <c r="U74" s="340" t="str">
        <f t="shared" si="10"/>
        <v/>
      </c>
      <c r="V74" s="9"/>
      <c r="W74" s="343"/>
      <c r="X74" s="343" t="str">
        <f t="shared" si="12"/>
        <v/>
      </c>
      <c r="Y74" s="10"/>
      <c r="Z74" s="348"/>
      <c r="AA74" s="273" t="str">
        <f>IF($P74=$R74,IF($P74&gt;=1000,ROUND(($P74/1000),1)&amp;" gram",$P74&amp;" mg"),IF($P74&gt;=1000,ROUND(($P74/1000),1),$P74&amp;IF($R74&lt;1000,""," mg"))&amp;" - "&amp;IF($R74&gt;=1000,ROUND(($R74/1000),1)&amp;" gram",$R74&amp;" mg"))&amp;" Q8H"</f>
        <v>105 - 175 mg Q8H</v>
      </c>
      <c r="AB74" s="13"/>
      <c r="AC74" s="256" t="str">
        <f>"30-50 mg/kg = "&amp;LEFT(AA74,LEN(AA74)-4)</f>
        <v>30-50 mg/kg = 105 - 175 mg</v>
      </c>
      <c r="AD74" s="12" t="str">
        <f>IFERROR(IF(Admin!$X$61="On","max = 1.5 gram",0),0)</f>
        <v>max = 1.5 gram</v>
      </c>
      <c r="AE74" s="113" t="str">
        <f t="shared" si="14"/>
        <v/>
      </c>
      <c r="AF74" s="112"/>
      <c r="AG74" s="248" t="s">
        <v>471</v>
      </c>
    </row>
    <row r="75" spans="2:33" s="55" customFormat="1" ht="25" customHeight="1" x14ac:dyDescent="0.2">
      <c r="B75" s="14" t="s">
        <v>159</v>
      </c>
      <c r="C75" s="349"/>
      <c r="D75" s="338" t="s">
        <v>7</v>
      </c>
      <c r="E75" s="350"/>
      <c r="F75" s="340" t="str">
        <f t="shared" si="2"/>
        <v/>
      </c>
      <c r="G75" s="341" t="str">
        <f t="shared" si="3"/>
        <v>mg /mL</v>
      </c>
      <c r="H75" s="349">
        <v>0</v>
      </c>
      <c r="I75" s="12">
        <v>1000</v>
      </c>
      <c r="J75" s="339" t="str">
        <f t="shared" si="4"/>
        <v>mg</v>
      </c>
      <c r="K75" s="349" t="s">
        <v>15</v>
      </c>
      <c r="L75" s="351">
        <v>50</v>
      </c>
      <c r="M75" s="11" t="str">
        <f t="shared" si="5"/>
        <v/>
      </c>
      <c r="N75" s="352"/>
      <c r="O75" s="344" t="str">
        <f t="shared" si="6"/>
        <v>mg/kg</v>
      </c>
      <c r="P75" s="435">
        <f t="shared" si="68"/>
        <v>175</v>
      </c>
      <c r="Q75" s="9" t="str">
        <f t="shared" si="8"/>
        <v/>
      </c>
      <c r="R75" s="343" t="str">
        <f t="shared" si="9"/>
        <v/>
      </c>
      <c r="S75" s="345" t="str">
        <f t="shared" si="0"/>
        <v>mg</v>
      </c>
      <c r="T75" s="346">
        <v>1</v>
      </c>
      <c r="U75" s="340" t="str">
        <f t="shared" si="10"/>
        <v/>
      </c>
      <c r="V75" s="9" t="str">
        <f t="shared" si="1"/>
        <v/>
      </c>
      <c r="W75" s="343" t="str">
        <f t="shared" si="11"/>
        <v/>
      </c>
      <c r="X75" s="343" t="str">
        <f t="shared" si="12"/>
        <v/>
      </c>
      <c r="Y75" s="10"/>
      <c r="Z75" s="348"/>
      <c r="AA75" s="273" t="str">
        <f>IF($P75&gt;=1000,ROUND(($P75/1000),1)&amp;" gram Q8H",$P75&amp;" mg Q8H")</f>
        <v>175 mg Q8H</v>
      </c>
      <c r="AB75" s="13"/>
      <c r="AC75" s="11" t="str">
        <f>"50 mg/kg = "&amp;P75&amp;" mg"</f>
        <v>50 mg/kg = 175 mg</v>
      </c>
      <c r="AD75" s="12" t="str">
        <f>IFERROR(IF(Admin!$X$61="On","max = 1 gram",0),0)</f>
        <v>max = 1 gram</v>
      </c>
      <c r="AE75" s="113" t="str">
        <f t="shared" si="14"/>
        <v/>
      </c>
      <c r="AF75" s="112"/>
      <c r="AG75" s="248" t="s">
        <v>472</v>
      </c>
    </row>
    <row r="76" spans="2:33" s="55" customFormat="1" ht="25" customHeight="1" x14ac:dyDescent="0.2">
      <c r="B76" s="14" t="s">
        <v>253</v>
      </c>
      <c r="C76" s="349"/>
      <c r="D76" s="338" t="s">
        <v>7</v>
      </c>
      <c r="E76" s="350"/>
      <c r="F76" s="340" t="str">
        <f t="shared" si="2"/>
        <v/>
      </c>
      <c r="G76" s="341" t="str">
        <f t="shared" si="3"/>
        <v>mg /mL</v>
      </c>
      <c r="H76" s="349">
        <v>0</v>
      </c>
      <c r="I76" s="12">
        <v>500</v>
      </c>
      <c r="J76" s="339" t="str">
        <f t="shared" si="4"/>
        <v>mg</v>
      </c>
      <c r="K76" s="349" t="s">
        <v>15</v>
      </c>
      <c r="L76" s="351">
        <v>7</v>
      </c>
      <c r="M76" s="11" t="str">
        <f t="shared" si="5"/>
        <v/>
      </c>
      <c r="N76" s="352"/>
      <c r="O76" s="344" t="str">
        <f t="shared" si="6"/>
        <v>mg/kg</v>
      </c>
      <c r="P76" s="435">
        <f>IFERROR(FLOOR(IF($L76=0,"",IF(($L76*$C$2)&lt;$H76,$H76,IF(($L76*$C$2)&gt;$I76,$I76,($L76*$C$2)))),5),"")</f>
        <v>20</v>
      </c>
      <c r="Q76" s="9" t="str">
        <f t="shared" si="8"/>
        <v/>
      </c>
      <c r="R76" s="343" t="str">
        <f t="shared" si="9"/>
        <v/>
      </c>
      <c r="S76" s="345" t="str">
        <f t="shared" si="0"/>
        <v>mg</v>
      </c>
      <c r="T76" s="346">
        <v>1</v>
      </c>
      <c r="U76" s="340" t="str">
        <f t="shared" si="10"/>
        <v/>
      </c>
      <c r="V76" s="9" t="str">
        <f t="shared" si="1"/>
        <v/>
      </c>
      <c r="W76" s="343" t="str">
        <f t="shared" si="11"/>
        <v/>
      </c>
      <c r="X76" s="343" t="str">
        <f t="shared" si="12"/>
        <v/>
      </c>
      <c r="Y76" s="10"/>
      <c r="Z76" s="348"/>
      <c r="AA76" s="317" t="str">
        <f>$P76&amp;" mg Daily"</f>
        <v>20 mg Daily</v>
      </c>
      <c r="AB76" s="13" t="s">
        <v>349</v>
      </c>
      <c r="AC76" s="11" t="str">
        <f>"7 mg/kg = "&amp;P76&amp;" mg"</f>
        <v>7 mg/kg = 20 mg</v>
      </c>
      <c r="AD76" s="12" t="str">
        <f>IF(Admin!$X$61="On","max = 500 mg.","")&amp;" Infuse over 30 minutes"</f>
        <v>max = 500 mg. Infuse over 30 minutes</v>
      </c>
      <c r="AE76" s="113" t="str">
        <f t="shared" si="14"/>
        <v/>
      </c>
      <c r="AF76" s="112"/>
      <c r="AG76" s="248" t="s">
        <v>350</v>
      </c>
    </row>
    <row r="77" spans="2:33" s="55" customFormat="1" ht="25" customHeight="1" x14ac:dyDescent="0.2">
      <c r="B77" s="14" t="s">
        <v>163</v>
      </c>
      <c r="C77" s="349"/>
      <c r="D77" s="338" t="s">
        <v>7</v>
      </c>
      <c r="E77" s="350"/>
      <c r="F77" s="340" t="str">
        <f t="shared" si="2"/>
        <v/>
      </c>
      <c r="G77" s="341" t="str">
        <f t="shared" si="3"/>
        <v>mg /mL</v>
      </c>
      <c r="H77" s="349">
        <v>0</v>
      </c>
      <c r="I77" s="12">
        <v>4500</v>
      </c>
      <c r="J77" s="339" t="str">
        <f t="shared" si="4"/>
        <v>mg</v>
      </c>
      <c r="K77" s="349" t="s">
        <v>15</v>
      </c>
      <c r="L77" s="351">
        <v>100</v>
      </c>
      <c r="M77" s="11" t="str">
        <f t="shared" si="5"/>
        <v/>
      </c>
      <c r="N77" s="352"/>
      <c r="O77" s="344" t="str">
        <f t="shared" si="6"/>
        <v>mg/kg</v>
      </c>
      <c r="P77" s="435">
        <f>IFERROR(MROUND(IF($L77=0,"",IF(($L77*$C$2)&lt;$H77,$H77,IF(($L77*$C$2)&gt;$I77,$I77,($L77*$C$2)))),5),"")</f>
        <v>350</v>
      </c>
      <c r="Q77" s="9" t="str">
        <f t="shared" si="8"/>
        <v/>
      </c>
      <c r="R77" s="343" t="str">
        <f t="shared" si="9"/>
        <v/>
      </c>
      <c r="S77" s="345" t="str">
        <f t="shared" si="0"/>
        <v>mg</v>
      </c>
      <c r="T77" s="346">
        <v>1</v>
      </c>
      <c r="U77" s="340" t="str">
        <f t="shared" si="10"/>
        <v/>
      </c>
      <c r="V77" s="9" t="str">
        <f t="shared" si="1"/>
        <v/>
      </c>
      <c r="W77" s="343" t="str">
        <f t="shared" si="11"/>
        <v/>
      </c>
      <c r="X77" s="343" t="str">
        <f t="shared" si="12"/>
        <v/>
      </c>
      <c r="Y77" s="10"/>
      <c r="Z77" s="348"/>
      <c r="AA77" s="273" t="str">
        <f>IF($P77&gt;=1000,ROUND(($P77/1000),1)&amp;" gram Q6H",$P77&amp;" mg Q6H")</f>
        <v>350 mg Q6H</v>
      </c>
      <c r="AB77" s="13" t="s">
        <v>150</v>
      </c>
      <c r="AC77" s="11" t="str">
        <f>"100 mg/kg = "&amp;P77&amp;" mg"</f>
        <v>100 mg/kg = 350 mg</v>
      </c>
      <c r="AD77" s="12" t="str">
        <f>IFERROR(IF(Admin!$X$61="On","max = 4.5 gram",0),0)</f>
        <v>max = 4.5 gram</v>
      </c>
      <c r="AE77" s="113" t="str">
        <f t="shared" si="14"/>
        <v/>
      </c>
      <c r="AF77" s="112"/>
      <c r="AG77" s="248" t="s">
        <v>473</v>
      </c>
    </row>
    <row r="78" spans="2:33" s="55" customFormat="1" ht="25" customHeight="1" x14ac:dyDescent="0.2">
      <c r="B78" s="14" t="s">
        <v>160</v>
      </c>
      <c r="C78" s="349"/>
      <c r="D78" s="338" t="s">
        <v>7</v>
      </c>
      <c r="E78" s="350"/>
      <c r="F78" s="340" t="str">
        <f t="shared" si="2"/>
        <v/>
      </c>
      <c r="G78" s="341" t="str">
        <f t="shared" si="3"/>
        <v>mg /mL</v>
      </c>
      <c r="H78" s="349">
        <v>0</v>
      </c>
      <c r="I78" s="12">
        <v>3000</v>
      </c>
      <c r="J78" s="339" t="str">
        <f t="shared" si="4"/>
        <v>mg</v>
      </c>
      <c r="K78" s="349" t="s">
        <v>15</v>
      </c>
      <c r="L78" s="351">
        <v>30</v>
      </c>
      <c r="M78" s="11" t="str">
        <f t="shared" si="5"/>
        <v/>
      </c>
      <c r="N78" s="352"/>
      <c r="O78" s="344" t="str">
        <f t="shared" si="6"/>
        <v>mg/kg</v>
      </c>
      <c r="P78" s="435">
        <f>IFERROR(MROUND(IF($L78=0,"",IF(($L78*$C$2)&lt;$H78,$H78,IF(($L78*$C$2)&gt;$I78,$I78,($L78*$C$2)))),5),"")</f>
        <v>105</v>
      </c>
      <c r="Q78" s="9" t="str">
        <f t="shared" si="8"/>
        <v/>
      </c>
      <c r="R78" s="343" t="str">
        <f t="shared" si="9"/>
        <v/>
      </c>
      <c r="S78" s="345" t="str">
        <f t="shared" si="0"/>
        <v>mg</v>
      </c>
      <c r="T78" s="346">
        <v>1</v>
      </c>
      <c r="U78" s="340" t="str">
        <f t="shared" si="10"/>
        <v/>
      </c>
      <c r="V78" s="9" t="str">
        <f t="shared" si="1"/>
        <v/>
      </c>
      <c r="W78" s="343" t="str">
        <f t="shared" si="11"/>
        <v/>
      </c>
      <c r="X78" s="343" t="str">
        <f t="shared" si="12"/>
        <v/>
      </c>
      <c r="Y78" s="10"/>
      <c r="Z78" s="348"/>
      <c r="AA78" s="273" t="str">
        <f>IF($P78&gt;=1000,ROUND(($P78/1000),1)&amp;" gram loading dose",$P78&amp;" mg loading dose")</f>
        <v>105 mg loading dose</v>
      </c>
      <c r="AB78" s="13"/>
      <c r="AC78" s="11" t="str">
        <f>"30 mg/kg = "&amp;P78&amp;" mg"</f>
        <v>30 mg/kg = 105 mg</v>
      </c>
      <c r="AD78" s="12" t="str">
        <f>IFERROR(IF(Admin!$X$61="On","max = 3 gram",0),0)</f>
        <v>max = 3 gram</v>
      </c>
      <c r="AE78" s="113" t="str">
        <f t="shared" si="14"/>
        <v/>
      </c>
      <c r="AF78" s="112"/>
      <c r="AG78" s="248" t="s">
        <v>474</v>
      </c>
    </row>
    <row r="79" spans="2:33" s="55" customFormat="1" ht="25" customHeight="1" x14ac:dyDescent="0.2">
      <c r="B79" s="14" t="s">
        <v>161</v>
      </c>
      <c r="C79" s="349"/>
      <c r="D79" s="338" t="s">
        <v>7</v>
      </c>
      <c r="E79" s="350"/>
      <c r="F79" s="340" t="str">
        <f t="shared" si="2"/>
        <v/>
      </c>
      <c r="G79" s="341" t="str">
        <f t="shared" si="3"/>
        <v>mg /mL</v>
      </c>
      <c r="H79" s="349">
        <v>0</v>
      </c>
      <c r="I79" s="12">
        <v>600</v>
      </c>
      <c r="J79" s="339" t="str">
        <f t="shared" si="4"/>
        <v>mg</v>
      </c>
      <c r="K79" s="349" t="s">
        <v>15</v>
      </c>
      <c r="L79" s="351">
        <v>10</v>
      </c>
      <c r="M79" s="11" t="str">
        <f t="shared" si="5"/>
        <v/>
      </c>
      <c r="N79" s="352"/>
      <c r="O79" s="344" t="str">
        <f t="shared" si="6"/>
        <v>mg/kg</v>
      </c>
      <c r="P79" s="435">
        <f>IFERROR(MROUND(IF($L79=0,"",IF(($L79*$C$2)&lt;$H79,$H79,IF(($L79*$C$2)&gt;$I79,$I79,($L79*$C$2)))),5),"")</f>
        <v>35</v>
      </c>
      <c r="Q79" s="9" t="str">
        <f t="shared" si="8"/>
        <v/>
      </c>
      <c r="R79" s="343" t="str">
        <f t="shared" si="9"/>
        <v/>
      </c>
      <c r="S79" s="345" t="str">
        <f t="shared" si="0"/>
        <v>mg</v>
      </c>
      <c r="T79" s="346">
        <v>1</v>
      </c>
      <c r="U79" s="340" t="str">
        <f t="shared" si="10"/>
        <v/>
      </c>
      <c r="V79" s="9" t="str">
        <f t="shared" si="1"/>
        <v/>
      </c>
      <c r="W79" s="343" t="str">
        <f t="shared" si="11"/>
        <v/>
      </c>
      <c r="X79" s="343" t="str">
        <f t="shared" si="12"/>
        <v/>
      </c>
      <c r="Y79" s="10"/>
      <c r="Z79" s="348"/>
      <c r="AA79" s="317" t="str">
        <f>$P79&amp;" mg Q8H"</f>
        <v>35 mg Q8H</v>
      </c>
      <c r="AB79" s="13"/>
      <c r="AC79" s="11" t="str">
        <f>"10 mg/kg = "&amp;P79&amp;" mg"</f>
        <v>10 mg/kg = 35 mg</v>
      </c>
      <c r="AD79" s="12" t="str">
        <f>IFERROR(IF(Admin!$X$61="On","max = 600 mg",0),0)</f>
        <v>max = 600 mg</v>
      </c>
      <c r="AE79" s="113" t="str">
        <f t="shared" si="14"/>
        <v/>
      </c>
      <c r="AF79" s="112"/>
      <c r="AG79" s="248" t="s">
        <v>475</v>
      </c>
    </row>
    <row r="80" spans="2:33" s="55" customFormat="1" ht="25" customHeight="1" x14ac:dyDescent="0.2">
      <c r="B80" s="14" t="s">
        <v>414</v>
      </c>
      <c r="C80" s="349"/>
      <c r="D80" s="338" t="s">
        <v>7</v>
      </c>
      <c r="E80" s="350"/>
      <c r="F80" s="340"/>
      <c r="G80" s="341" t="str">
        <f t="shared" si="3"/>
        <v>mg /mL</v>
      </c>
      <c r="H80" s="349">
        <v>0</v>
      </c>
      <c r="I80" s="12">
        <v>800</v>
      </c>
      <c r="J80" s="339" t="str">
        <f t="shared" si="4"/>
        <v>mg</v>
      </c>
      <c r="K80" s="349" t="s">
        <v>15</v>
      </c>
      <c r="L80" s="351"/>
      <c r="M80" s="11" t="str">
        <f t="shared" si="5"/>
        <v/>
      </c>
      <c r="N80" s="352"/>
      <c r="O80" s="344" t="str">
        <f t="shared" si="6"/>
        <v>mg/kg</v>
      </c>
      <c r="P80" s="340"/>
      <c r="Q80" s="9" t="str">
        <f t="shared" si="8"/>
        <v/>
      </c>
      <c r="R80" s="343" t="str">
        <f t="shared" si="9"/>
        <v/>
      </c>
      <c r="S80" s="345" t="str">
        <f t="shared" si="0"/>
        <v>mg</v>
      </c>
      <c r="T80" s="346">
        <v>1</v>
      </c>
      <c r="U80" s="340"/>
      <c r="V80" s="9" t="str">
        <f t="shared" si="1"/>
        <v/>
      </c>
      <c r="W80" s="343"/>
      <c r="X80" s="343"/>
      <c r="Y80" s="10"/>
      <c r="Z80" s="348"/>
      <c r="AA80" s="273" t="str">
        <f>IF($F$2="Yes",VLOOKUP("Yes",DrugAciclovir,5,FALSE)&amp;" mg "&amp;IF(LEFT($AC$80,3)="500","(estimated) Q8H","Q8H"),"Both age &amp; weight required")</f>
        <v>Both age &amp; weight required</v>
      </c>
      <c r="AB80" s="319">
        <f>IF(LEFT($AC$80,3)="500","based on ESTIMATED BSA of "&amp;Calculations!$C$196&amp;" m2",0)</f>
        <v>0</v>
      </c>
      <c r="AC80" s="256">
        <f>IF($F$2="Yes",VLOOKUP("Yes",DrugAciclovir,2,FALSE)&amp;" = "&amp;VLOOKUP("Yes",DrugAciclovir,5,FALSE)&amp;" mg",0)</f>
        <v>0</v>
      </c>
      <c r="AD80" s="255">
        <f>IF($F$2="Yes",IF(Admin!$X$61="On","max = 750 mg",0),0)</f>
        <v>0</v>
      </c>
      <c r="AE80" s="113"/>
      <c r="AF80" s="112"/>
      <c r="AG80" s="248" t="s">
        <v>476</v>
      </c>
    </row>
    <row r="81" spans="2:33" s="55" customFormat="1" ht="25" customHeight="1" x14ac:dyDescent="0.2">
      <c r="B81" s="14" t="s">
        <v>440</v>
      </c>
      <c r="C81" s="349"/>
      <c r="D81" s="338" t="s">
        <v>7</v>
      </c>
      <c r="E81" s="350"/>
      <c r="F81" s="340"/>
      <c r="G81" s="341" t="str">
        <f t="shared" si="3"/>
        <v>mg /mL</v>
      </c>
      <c r="H81" s="349">
        <v>0</v>
      </c>
      <c r="I81" s="12">
        <v>500</v>
      </c>
      <c r="J81" s="339" t="str">
        <f t="shared" si="4"/>
        <v>mg</v>
      </c>
      <c r="K81" s="349" t="s">
        <v>15</v>
      </c>
      <c r="L81" s="351">
        <v>7.5</v>
      </c>
      <c r="M81" s="11" t="str">
        <f t="shared" si="5"/>
        <v/>
      </c>
      <c r="N81" s="352"/>
      <c r="O81" s="344" t="str">
        <f t="shared" si="6"/>
        <v>mg/kg</v>
      </c>
      <c r="P81" s="435">
        <f>IFERROR(MROUND(IF($L81=0,"",IF(($L81*$C$2)&lt;$H81,$H81,IF(($L81*$C$2)&gt;$I81,$I81,($L81*$C$2)))),5),"")</f>
        <v>25</v>
      </c>
      <c r="Q81" s="9" t="str">
        <f t="shared" si="8"/>
        <v/>
      </c>
      <c r="R81" s="343" t="str">
        <f t="shared" si="9"/>
        <v/>
      </c>
      <c r="S81" s="345" t="str">
        <f t="shared" si="0"/>
        <v>mg</v>
      </c>
      <c r="T81" s="346">
        <v>0</v>
      </c>
      <c r="U81" s="340"/>
      <c r="V81" s="9" t="str">
        <f t="shared" si="1"/>
        <v/>
      </c>
      <c r="W81" s="343"/>
      <c r="X81" s="343"/>
      <c r="Y81" s="10"/>
      <c r="Z81" s="348"/>
      <c r="AA81" s="273" t="str">
        <f>IF($F$2="Yes",$P81&amp;IF(AND('Weight Estimations'!C4=0,'Weight Estimations'!C3&lt;1)," mg Q12H"," mg Q8H"),"Both age &amp; weight required")</f>
        <v>Both age &amp; weight required</v>
      </c>
      <c r="AB81" s="13"/>
      <c r="AC81" s="256">
        <f>IF($F$2="Yes","7.5 mg/kg = "&amp;$P81&amp;" mg",0)</f>
        <v>0</v>
      </c>
      <c r="AD81" s="255">
        <f>IF($F$2="yes",IF(Admin!$X$61="On","max = 500 mg",0),0)</f>
        <v>0</v>
      </c>
      <c r="AE81" s="113"/>
      <c r="AF81" s="112"/>
      <c r="AG81" s="248" t="s">
        <v>477</v>
      </c>
    </row>
    <row r="82" spans="2:33" s="55" customFormat="1" ht="25" customHeight="1" x14ac:dyDescent="0.2">
      <c r="B82" s="14"/>
      <c r="C82" s="349"/>
      <c r="D82" s="338"/>
      <c r="E82" s="350"/>
      <c r="F82" s="340"/>
      <c r="G82" s="341"/>
      <c r="H82" s="349"/>
      <c r="I82" s="12"/>
      <c r="J82" s="339"/>
      <c r="K82" s="349"/>
      <c r="L82" s="351"/>
      <c r="M82" s="11"/>
      <c r="N82" s="352"/>
      <c r="O82" s="344"/>
      <c r="P82" s="340"/>
      <c r="Q82" s="9"/>
      <c r="R82" s="343"/>
      <c r="S82" s="345"/>
      <c r="T82" s="346"/>
      <c r="U82" s="340"/>
      <c r="V82" s="9"/>
      <c r="W82" s="343"/>
      <c r="X82" s="343"/>
      <c r="Y82" s="10"/>
      <c r="Z82" s="348"/>
      <c r="AA82" s="317"/>
      <c r="AB82" s="13"/>
      <c r="AC82" s="11"/>
      <c r="AD82" s="12"/>
      <c r="AE82" s="113"/>
      <c r="AF82" s="112"/>
      <c r="AG82" s="248"/>
    </row>
    <row r="83" spans="2:33" s="55" customFormat="1" ht="25" customHeight="1" x14ac:dyDescent="0.2">
      <c r="B83" s="14" t="s">
        <v>747</v>
      </c>
      <c r="C83" s="349">
        <v>100</v>
      </c>
      <c r="D83" s="338" t="s">
        <v>7</v>
      </c>
      <c r="E83" s="350">
        <v>2</v>
      </c>
      <c r="F83" s="340">
        <f t="shared" si="2"/>
        <v>50</v>
      </c>
      <c r="G83" s="341" t="str">
        <f t="shared" si="3"/>
        <v>mg /mL</v>
      </c>
      <c r="H83" s="349">
        <v>0</v>
      </c>
      <c r="I83" s="12">
        <v>100</v>
      </c>
      <c r="J83" s="339" t="str">
        <f t="shared" si="4"/>
        <v>mg</v>
      </c>
      <c r="K83" s="349" t="s">
        <v>15</v>
      </c>
      <c r="L83" s="351">
        <v>1</v>
      </c>
      <c r="M83" s="11" t="str">
        <f t="shared" si="5"/>
        <v/>
      </c>
      <c r="N83" s="352"/>
      <c r="O83" s="344" t="str">
        <f t="shared" si="6"/>
        <v>mg/kg</v>
      </c>
      <c r="P83" s="435">
        <f>IFERROR(MROUND(IF($L83=0,"",IF(($L83*$C$2)&lt;$H83,$H83,IF(($L83*$C$2)&gt;$I83,$I83,($L83*$C$2)))),1),"")</f>
        <v>4</v>
      </c>
      <c r="Q83" s="9" t="str">
        <f t="shared" si="8"/>
        <v/>
      </c>
      <c r="R83" s="343" t="str">
        <f t="shared" si="9"/>
        <v/>
      </c>
      <c r="S83" s="345" t="str">
        <f t="shared" si="0"/>
        <v>mg</v>
      </c>
      <c r="T83" s="346">
        <v>2</v>
      </c>
      <c r="U83" s="340">
        <f t="shared" si="10"/>
        <v>0.1</v>
      </c>
      <c r="V83" s="9" t="str">
        <f t="shared" si="1"/>
        <v/>
      </c>
      <c r="W83" s="343" t="str">
        <f t="shared" si="11"/>
        <v/>
      </c>
      <c r="X83" s="343" t="str">
        <f t="shared" si="12"/>
        <v>mL</v>
      </c>
      <c r="Y83" s="10">
        <v>1</v>
      </c>
      <c r="Z83" s="348"/>
      <c r="AA83" s="317" t="str">
        <f>U83&amp;" mL"</f>
        <v>0.1 mL</v>
      </c>
      <c r="AB83" s="13" t="s">
        <v>797</v>
      </c>
      <c r="AC83" s="11" t="str">
        <f>"1 mg/kg = "&amp;P83&amp;" mg"</f>
        <v>1 mg/kg = 4 mg</v>
      </c>
      <c r="AD83" s="12" t="str">
        <f>IFERROR(IF(Admin!$X$61="On","max = 100 mg",0),0)</f>
        <v>max = 100 mg</v>
      </c>
      <c r="AE83" s="113" t="str">
        <f t="shared" si="14"/>
        <v>No</v>
      </c>
      <c r="AF83" s="112"/>
      <c r="AG83" s="248" t="s">
        <v>344</v>
      </c>
    </row>
    <row r="84" spans="2:33" s="55" customFormat="1" ht="25" customHeight="1" x14ac:dyDescent="0.2">
      <c r="B84" s="14"/>
      <c r="C84" s="349"/>
      <c r="D84" s="338"/>
      <c r="E84" s="350"/>
      <c r="F84" s="340" t="str">
        <f t="shared" si="2"/>
        <v/>
      </c>
      <c r="G84" s="341" t="str">
        <f t="shared" si="3"/>
        <v/>
      </c>
      <c r="H84" s="349"/>
      <c r="I84" s="12"/>
      <c r="J84" s="339" t="str">
        <f t="shared" si="4"/>
        <v/>
      </c>
      <c r="K84" s="349"/>
      <c r="L84" s="351"/>
      <c r="M84" s="11" t="str">
        <f t="shared" si="5"/>
        <v/>
      </c>
      <c r="N84" s="352"/>
      <c r="O84" s="344" t="str">
        <f t="shared" si="6"/>
        <v/>
      </c>
      <c r="P84" s="340" t="str">
        <f t="shared" si="7"/>
        <v/>
      </c>
      <c r="Q84" s="9" t="str">
        <f t="shared" si="8"/>
        <v/>
      </c>
      <c r="R84" s="343" t="str">
        <f t="shared" si="9"/>
        <v/>
      </c>
      <c r="S84" s="345" t="str">
        <f t="shared" si="0"/>
        <v/>
      </c>
      <c r="T84" s="346"/>
      <c r="U84" s="340" t="str">
        <f t="shared" si="10"/>
        <v/>
      </c>
      <c r="V84" s="9" t="str">
        <f t="shared" si="1"/>
        <v/>
      </c>
      <c r="W84" s="343" t="str">
        <f t="shared" si="11"/>
        <v/>
      </c>
      <c r="X84" s="343" t="str">
        <f t="shared" si="12"/>
        <v/>
      </c>
      <c r="Y84" s="10"/>
      <c r="Z84" s="348"/>
      <c r="AA84" s="317" t="str">
        <f t="shared" si="13"/>
        <v/>
      </c>
      <c r="AB84" s="13"/>
      <c r="AC84" s="11"/>
      <c r="AD84" s="12"/>
      <c r="AE84" s="113" t="str">
        <f t="shared" si="14"/>
        <v/>
      </c>
      <c r="AF84" s="112"/>
      <c r="AG84" s="248"/>
    </row>
    <row r="85" spans="2:33" s="55" customFormat="1" ht="25" customHeight="1" x14ac:dyDescent="0.2">
      <c r="B85" s="14" t="s">
        <v>165</v>
      </c>
      <c r="C85" s="349"/>
      <c r="D85" s="338" t="s">
        <v>7</v>
      </c>
      <c r="E85" s="350"/>
      <c r="F85" s="340" t="str">
        <f t="shared" si="2"/>
        <v/>
      </c>
      <c r="G85" s="341" t="str">
        <f t="shared" si="3"/>
        <v>mg /mL</v>
      </c>
      <c r="H85" s="349">
        <v>0</v>
      </c>
      <c r="I85" s="12">
        <v>1000</v>
      </c>
      <c r="J85" s="339" t="str">
        <f t="shared" si="4"/>
        <v>mg</v>
      </c>
      <c r="K85" s="349" t="s">
        <v>15</v>
      </c>
      <c r="L85" s="351">
        <v>15</v>
      </c>
      <c r="M85" s="11" t="str">
        <f t="shared" si="5"/>
        <v/>
      </c>
      <c r="N85" s="352"/>
      <c r="O85" s="344" t="str">
        <f t="shared" si="6"/>
        <v>mg/kg</v>
      </c>
      <c r="P85" s="435">
        <f>IFERROR(FLOOR(IF($L85=0,"",IF(($L85*$C$2)&lt;$H85,$H85,IF(($L85*$C$2)&gt;$I85,$I85,($L85*$C$2)))),5),"")</f>
        <v>50</v>
      </c>
      <c r="Q85" s="9" t="str">
        <f t="shared" si="8"/>
        <v/>
      </c>
      <c r="R85" s="343" t="str">
        <f t="shared" si="9"/>
        <v/>
      </c>
      <c r="S85" s="345" t="str">
        <f t="shared" si="0"/>
        <v>mg</v>
      </c>
      <c r="T85" s="346">
        <v>0</v>
      </c>
      <c r="U85" s="340" t="str">
        <f t="shared" si="10"/>
        <v/>
      </c>
      <c r="V85" s="9" t="str">
        <f t="shared" si="1"/>
        <v/>
      </c>
      <c r="W85" s="343" t="str">
        <f t="shared" si="11"/>
        <v/>
      </c>
      <c r="X85" s="343" t="str">
        <f t="shared" si="12"/>
        <v/>
      </c>
      <c r="Y85" s="10"/>
      <c r="Z85" s="348"/>
      <c r="AA85" s="273" t="str">
        <f>IF($P85&gt;=1000,($P85/1000)&amp;" gram ",$P85&amp;" mg ")&amp;IF($C$2&lt;4.5,"PRN Q8H","PRN Q6H")</f>
        <v>50 mg PRN Q8H</v>
      </c>
      <c r="AB85" s="13"/>
      <c r="AC85" s="11" t="str">
        <f>"15 mg/kg = "&amp;P85&amp;" mg"</f>
        <v>15 mg/kg = 50 mg</v>
      </c>
      <c r="AD85" s="12" t="str">
        <f>IFERROR(IF(Admin!$X$61="On","max = 1 gram",0),0)</f>
        <v>max = 1 gram</v>
      </c>
      <c r="AE85" s="113" t="str">
        <f t="shared" si="14"/>
        <v/>
      </c>
      <c r="AF85" s="112"/>
      <c r="AG85" s="248" t="s">
        <v>345</v>
      </c>
    </row>
    <row r="86" spans="2:33" s="55" customFormat="1" ht="25" customHeight="1" x14ac:dyDescent="0.2">
      <c r="B86" s="14" t="s">
        <v>166</v>
      </c>
      <c r="C86" s="349"/>
      <c r="D86" s="338" t="s">
        <v>7</v>
      </c>
      <c r="E86" s="350"/>
      <c r="F86" s="340" t="str">
        <f t="shared" si="2"/>
        <v/>
      </c>
      <c r="G86" s="341" t="str">
        <f t="shared" si="3"/>
        <v>mg /mL</v>
      </c>
      <c r="H86" s="349">
        <v>0</v>
      </c>
      <c r="I86" s="12">
        <v>400</v>
      </c>
      <c r="J86" s="339" t="str">
        <f t="shared" si="4"/>
        <v>mg</v>
      </c>
      <c r="K86" s="349" t="s">
        <v>15</v>
      </c>
      <c r="L86" s="351">
        <v>10</v>
      </c>
      <c r="M86" s="11" t="str">
        <f t="shared" si="5"/>
        <v/>
      </c>
      <c r="N86" s="352"/>
      <c r="O86" s="344" t="str">
        <f t="shared" si="6"/>
        <v>mg/kg</v>
      </c>
      <c r="P86" s="435">
        <f>IFERROR(FLOOR(IF($L86=0,"",IF(($L86*$C$2)&lt;$H86,$H86,IF(($L86*$C$2)&gt;$I86,$I86,($L86*$C$2)))),5),"")</f>
        <v>35</v>
      </c>
      <c r="Q86" s="9" t="str">
        <f t="shared" si="8"/>
        <v/>
      </c>
      <c r="R86" s="343" t="str">
        <f t="shared" si="9"/>
        <v/>
      </c>
      <c r="S86" s="345" t="str">
        <f t="shared" si="0"/>
        <v>mg</v>
      </c>
      <c r="T86" s="346">
        <v>0</v>
      </c>
      <c r="U86" s="340" t="str">
        <f t="shared" si="10"/>
        <v/>
      </c>
      <c r="V86" s="9" t="str">
        <f t="shared" si="1"/>
        <v/>
      </c>
      <c r="W86" s="343" t="str">
        <f t="shared" si="11"/>
        <v/>
      </c>
      <c r="X86" s="343" t="str">
        <f t="shared" si="12"/>
        <v/>
      </c>
      <c r="Y86" s="10"/>
      <c r="Z86" s="348"/>
      <c r="AA86" s="318" t="str">
        <f>IF(OR(ISTEXT($L$2),$L$2&lt;0.3),"Not recommended at this age",$P86&amp;" mg PRN Q8H")</f>
        <v>Not recommended at this age</v>
      </c>
      <c r="AB86" s="13"/>
      <c r="AC86" s="249">
        <f>IF(OR(ISTEXT($L$2),$L$2&lt;0.3),0,"10 mg/kg = "&amp;P86&amp;" mg")</f>
        <v>0</v>
      </c>
      <c r="AD86" s="250">
        <f>IF(OR(ISTEXT($L$2),$L$2&lt;0.3),0,IF(Admin!$X$61="On","max = 400 mg",0))</f>
        <v>0</v>
      </c>
      <c r="AE86" s="113" t="str">
        <f t="shared" si="14"/>
        <v/>
      </c>
      <c r="AF86" s="112"/>
      <c r="AG86" s="248" t="s">
        <v>345</v>
      </c>
    </row>
    <row r="87" spans="2:33" s="55" customFormat="1" ht="25" customHeight="1" x14ac:dyDescent="0.2">
      <c r="B87" s="14" t="s">
        <v>734</v>
      </c>
      <c r="C87" s="349"/>
      <c r="D87" s="338" t="s">
        <v>7</v>
      </c>
      <c r="E87" s="350"/>
      <c r="F87" s="340" t="str">
        <f t="shared" si="2"/>
        <v/>
      </c>
      <c r="G87" s="341" t="str">
        <f t="shared" si="3"/>
        <v>mg /mL</v>
      </c>
      <c r="H87" s="349">
        <v>0</v>
      </c>
      <c r="I87" s="12">
        <v>12</v>
      </c>
      <c r="J87" s="339" t="str">
        <f t="shared" si="4"/>
        <v>mg</v>
      </c>
      <c r="K87" s="349" t="s">
        <v>14</v>
      </c>
      <c r="L87" s="351">
        <v>0.15</v>
      </c>
      <c r="M87" s="11" t="str">
        <f t="shared" si="5"/>
        <v>to</v>
      </c>
      <c r="N87" s="352">
        <v>0.6</v>
      </c>
      <c r="O87" s="344" t="str">
        <f t="shared" si="6"/>
        <v>mg/kg</v>
      </c>
      <c r="P87" s="340">
        <f t="shared" si="7"/>
        <v>0.5</v>
      </c>
      <c r="Q87" s="9" t="str">
        <f t="shared" si="8"/>
        <v>to</v>
      </c>
      <c r="R87" s="343">
        <f t="shared" si="9"/>
        <v>2.1</v>
      </c>
      <c r="S87" s="345" t="str">
        <f t="shared" si="0"/>
        <v>mg</v>
      </c>
      <c r="T87" s="346">
        <v>1</v>
      </c>
      <c r="U87" s="340" t="str">
        <f t="shared" si="10"/>
        <v/>
      </c>
      <c r="V87" s="9"/>
      <c r="W87" s="343" t="str">
        <f t="shared" si="11"/>
        <v/>
      </c>
      <c r="X87" s="343" t="str">
        <f t="shared" si="12"/>
        <v/>
      </c>
      <c r="Y87" s="10"/>
      <c r="Z87" s="348"/>
      <c r="AA87" s="577" t="str">
        <f>IF($P87=$R87,$P87&amp;" mg Daily",$P87&amp;" - "&amp;$R87&amp;" mg Daily")</f>
        <v>0.5 - 2.1 mg Daily</v>
      </c>
      <c r="AB87" s="13" t="s">
        <v>735</v>
      </c>
      <c r="AC87" s="11" t="str">
        <f>"0.15-0.6 mg/kg = "&amp;P87&amp;" - "&amp;R87&amp;" mg"</f>
        <v>0.15-0.6 mg/kg = 0.5 - 2.1 mg</v>
      </c>
      <c r="AD87" s="12" t="str">
        <f>IFERROR(IF(Admin!$X$61="On","max = 12 mg",0),0)</f>
        <v>max = 12 mg</v>
      </c>
      <c r="AE87" s="113" t="str">
        <f t="shared" si="14"/>
        <v/>
      </c>
      <c r="AF87" s="112"/>
      <c r="AG87" s="248" t="s">
        <v>237</v>
      </c>
    </row>
    <row r="88" spans="2:33" s="55" customFormat="1" ht="25" customHeight="1" x14ac:dyDescent="0.2">
      <c r="B88" s="14" t="s">
        <v>164</v>
      </c>
      <c r="C88" s="349"/>
      <c r="D88" s="338" t="s">
        <v>7</v>
      </c>
      <c r="E88" s="350"/>
      <c r="F88" s="340" t="str">
        <f t="shared" si="2"/>
        <v/>
      </c>
      <c r="G88" s="341" t="str">
        <f t="shared" si="3"/>
        <v>mg /mL</v>
      </c>
      <c r="H88" s="349">
        <v>0</v>
      </c>
      <c r="I88" s="12">
        <v>40</v>
      </c>
      <c r="J88" s="339" t="str">
        <f t="shared" si="4"/>
        <v>mg</v>
      </c>
      <c r="K88" s="349" t="s">
        <v>15</v>
      </c>
      <c r="L88" s="351">
        <v>1</v>
      </c>
      <c r="M88" s="11" t="str">
        <f t="shared" si="5"/>
        <v/>
      </c>
      <c r="N88" s="352"/>
      <c r="O88" s="344" t="str">
        <f t="shared" si="6"/>
        <v>mg/kg</v>
      </c>
      <c r="P88" s="340">
        <f t="shared" si="7"/>
        <v>4</v>
      </c>
      <c r="Q88" s="9" t="str">
        <f t="shared" si="8"/>
        <v/>
      </c>
      <c r="R88" s="343"/>
      <c r="S88" s="345" t="str">
        <f t="shared" si="0"/>
        <v>mg</v>
      </c>
      <c r="T88" s="346">
        <v>0</v>
      </c>
      <c r="U88" s="340" t="str">
        <f t="shared" si="10"/>
        <v/>
      </c>
      <c r="V88" s="9"/>
      <c r="W88" s="343"/>
      <c r="X88" s="343" t="str">
        <f t="shared" si="12"/>
        <v/>
      </c>
      <c r="Y88" s="10"/>
      <c r="Z88" s="348"/>
      <c r="AA88" s="317" t="str">
        <f>$P88&amp; " mg Daily"</f>
        <v>4 mg Daily</v>
      </c>
      <c r="AB88" s="13" t="s">
        <v>167</v>
      </c>
      <c r="AC88" s="11" t="str">
        <f>"1 mg/kg = "&amp;P88&amp;" mg"</f>
        <v>1 mg/kg = 4 mg</v>
      </c>
      <c r="AD88" s="12" t="str">
        <f>IFERROR(IF(Admin!$X$61="On","max = 40 mg",0),0)</f>
        <v>max = 40 mg</v>
      </c>
      <c r="AE88" s="113" t="str">
        <f t="shared" si="14"/>
        <v/>
      </c>
      <c r="AF88" s="112"/>
      <c r="AG88" s="248" t="s">
        <v>238</v>
      </c>
    </row>
    <row r="89" spans="2:33" s="55" customFormat="1" ht="25" customHeight="1" x14ac:dyDescent="0.2">
      <c r="B89" s="14" t="s">
        <v>335</v>
      </c>
      <c r="C89" s="349"/>
      <c r="D89" s="338" t="s">
        <v>7</v>
      </c>
      <c r="E89" s="350"/>
      <c r="F89" s="340" t="str">
        <f t="shared" si="2"/>
        <v/>
      </c>
      <c r="G89" s="341" t="str">
        <f t="shared" si="3"/>
        <v>mg /mL</v>
      </c>
      <c r="H89" s="349">
        <v>0</v>
      </c>
      <c r="I89" s="12">
        <v>100</v>
      </c>
      <c r="J89" s="339" t="str">
        <f t="shared" si="4"/>
        <v>mg</v>
      </c>
      <c r="K89" s="349" t="s">
        <v>15</v>
      </c>
      <c r="L89" s="351">
        <v>20</v>
      </c>
      <c r="M89" s="11" t="str">
        <f t="shared" si="5"/>
        <v/>
      </c>
      <c r="N89" s="352"/>
      <c r="O89" s="344" t="str">
        <f t="shared" si="6"/>
        <v>mg/kg</v>
      </c>
      <c r="P89" s="435">
        <f>IFERROR(FLOOR(IF($L89=0,"",IF(($L89*$C$2)&lt;$H89,$H89,IF(($L89*$C$2)&gt;$I89,$I89,($L89*$C$2)))),5),"")</f>
        <v>70</v>
      </c>
      <c r="Q89" s="9" t="str">
        <f t="shared" si="8"/>
        <v/>
      </c>
      <c r="R89" s="343"/>
      <c r="S89" s="345" t="str">
        <f t="shared" si="0"/>
        <v>mg</v>
      </c>
      <c r="T89" s="346">
        <v>0</v>
      </c>
      <c r="U89" s="340" t="str">
        <f t="shared" si="10"/>
        <v/>
      </c>
      <c r="V89" s="9"/>
      <c r="W89" s="343"/>
      <c r="X89" s="343" t="str">
        <f t="shared" si="12"/>
        <v/>
      </c>
      <c r="Y89" s="10"/>
      <c r="Z89" s="348"/>
      <c r="AA89" s="318" t="str">
        <f>IF(OR(ISTEXT($L$2),$L$2&lt;=0.1),$P$89&amp;" mg initial dose","Not recommended at this age")</f>
        <v>70 mg initial dose</v>
      </c>
      <c r="AB89" s="320" t="s">
        <v>339</v>
      </c>
      <c r="AC89" s="249" t="str">
        <f>IF(OR(ISTEXT($L$2),$L$2&lt;=0.1),"20 mg/kg = "&amp;$P89&amp;" mg",0)</f>
        <v>20 mg/kg = 70 mg</v>
      </c>
      <c r="AD89" s="250" t="str">
        <f>IF(OR(ISTEXT($L$2),$L$2&lt;=0.1),IF(Admin!$X$61="On","max = 100 mg.","")&amp;" If IV give over 30 minutes",0)</f>
        <v>max = 100 mg. If IV give over 30 minutes</v>
      </c>
      <c r="AE89" s="113" t="str">
        <f t="shared" si="14"/>
        <v/>
      </c>
      <c r="AF89" s="112"/>
      <c r="AG89" s="248" t="s">
        <v>239</v>
      </c>
    </row>
    <row r="90" spans="2:33" s="55" customFormat="1" ht="25" customHeight="1" x14ac:dyDescent="0.2">
      <c r="B90" s="14" t="s">
        <v>250</v>
      </c>
      <c r="C90" s="349"/>
      <c r="D90" s="338" t="s">
        <v>7</v>
      </c>
      <c r="E90" s="350"/>
      <c r="F90" s="340" t="str">
        <f t="shared" si="2"/>
        <v/>
      </c>
      <c r="G90" s="341" t="str">
        <f t="shared" si="3"/>
        <v>mg /mL</v>
      </c>
      <c r="H90" s="349">
        <v>0</v>
      </c>
      <c r="I90" s="12">
        <v>1000</v>
      </c>
      <c r="J90" s="339" t="str">
        <f t="shared" si="4"/>
        <v>mg</v>
      </c>
      <c r="K90" s="349" t="s">
        <v>14</v>
      </c>
      <c r="L90" s="351">
        <v>25</v>
      </c>
      <c r="M90" s="11" t="str">
        <f t="shared" si="5"/>
        <v>to</v>
      </c>
      <c r="N90" s="352">
        <v>40</v>
      </c>
      <c r="O90" s="344" t="str">
        <f t="shared" si="6"/>
        <v>mg/kg</v>
      </c>
      <c r="P90" s="435">
        <f>IFERROR(FLOOR(IF($L90=0,"",IF(($L90*$C$2)&lt;$H90,$H90,IF(($L90*$C$2)&gt;$I90,$I90,($L90*$C$2)))),5),"")</f>
        <v>85</v>
      </c>
      <c r="Q90" s="9" t="str">
        <f t="shared" si="8"/>
        <v>to</v>
      </c>
      <c r="R90" s="436">
        <f>IFERROR(FLOOR(IF($N90=0,"",IF(($N90*$C$2)&lt;$H90,$H90,IF(($N90*$C$2)&gt;$I90,$I90,($N90*$C$2)))),5),"")</f>
        <v>140</v>
      </c>
      <c r="S90" s="345" t="str">
        <f t="shared" si="0"/>
        <v>mg</v>
      </c>
      <c r="T90" s="346">
        <v>0</v>
      </c>
      <c r="U90" s="340" t="str">
        <f t="shared" si="10"/>
        <v/>
      </c>
      <c r="V90" s="9"/>
      <c r="W90" s="343"/>
      <c r="X90" s="343" t="str">
        <f t="shared" si="12"/>
        <v/>
      </c>
      <c r="Y90" s="10"/>
      <c r="Z90" s="348"/>
      <c r="AA90" s="273" t="str">
        <f>IF($P90=$R90,$P90,$P90&amp;" - "&amp;$R90)&amp;" mg PRN Q8H"</f>
        <v>85 - 140 mg PRN Q8H</v>
      </c>
      <c r="AB90" s="13" t="s">
        <v>252</v>
      </c>
      <c r="AC90" s="683" t="str">
        <f>"25-40 mg/kg = "&amp;LEFT(AA90,LEN(AA90)-8)</f>
        <v>25-40 mg/kg = 85 - 140 mg</v>
      </c>
      <c r="AD90" s="12" t="str">
        <f>IFERROR(IF(Admin!$X$61="On","max = 1000 mg",0),0)</f>
        <v>max = 1000 mg</v>
      </c>
      <c r="AE90" s="113" t="str">
        <f t="shared" si="14"/>
        <v/>
      </c>
      <c r="AF90" s="112"/>
      <c r="AG90" s="248" t="s">
        <v>251</v>
      </c>
    </row>
    <row r="91" spans="2:33" s="55" customFormat="1" ht="25" customHeight="1" x14ac:dyDescent="0.2">
      <c r="B91" s="14"/>
      <c r="C91" s="349"/>
      <c r="D91" s="338"/>
      <c r="E91" s="350"/>
      <c r="F91" s="340" t="str">
        <f t="shared" si="2"/>
        <v/>
      </c>
      <c r="G91" s="341" t="str">
        <f t="shared" si="3"/>
        <v/>
      </c>
      <c r="H91" s="349"/>
      <c r="I91" s="12"/>
      <c r="J91" s="339" t="str">
        <f t="shared" si="4"/>
        <v/>
      </c>
      <c r="K91" s="349"/>
      <c r="L91" s="351"/>
      <c r="M91" s="11" t="str">
        <f t="shared" si="5"/>
        <v/>
      </c>
      <c r="N91" s="352"/>
      <c r="O91" s="344" t="str">
        <f t="shared" si="6"/>
        <v/>
      </c>
      <c r="P91" s="340" t="str">
        <f t="shared" si="7"/>
        <v/>
      </c>
      <c r="Q91" s="9" t="str">
        <f t="shared" si="8"/>
        <v/>
      </c>
      <c r="R91" s="343"/>
      <c r="S91" s="345" t="str">
        <f t="shared" si="0"/>
        <v/>
      </c>
      <c r="T91" s="346"/>
      <c r="U91" s="340" t="str">
        <f t="shared" si="10"/>
        <v/>
      </c>
      <c r="V91" s="9"/>
      <c r="W91" s="343"/>
      <c r="X91" s="343" t="str">
        <f t="shared" si="12"/>
        <v/>
      </c>
      <c r="Y91" s="10"/>
      <c r="Z91" s="348"/>
      <c r="AA91" s="317" t="str">
        <f t="shared" si="13"/>
        <v/>
      </c>
      <c r="AB91" s="13"/>
      <c r="AC91" s="11"/>
      <c r="AD91" s="12"/>
      <c r="AE91" s="113" t="str">
        <f t="shared" ref="AE91:AE129" si="74">IF($U91="","",IF($L91*$C$2&gt;$I91, "Yes","No"))</f>
        <v/>
      </c>
      <c r="AF91" s="112"/>
      <c r="AG91" s="248"/>
    </row>
    <row r="92" spans="2:33" s="55" customFormat="1" ht="25" customHeight="1" x14ac:dyDescent="0.2">
      <c r="B92" s="14" t="s">
        <v>738</v>
      </c>
      <c r="C92" s="349"/>
      <c r="D92" s="338"/>
      <c r="E92" s="350"/>
      <c r="F92" s="340"/>
      <c r="G92" s="341"/>
      <c r="H92" s="349"/>
      <c r="I92" s="12"/>
      <c r="J92" s="339"/>
      <c r="K92" s="349"/>
      <c r="L92" s="351"/>
      <c r="M92" s="11"/>
      <c r="N92" s="352"/>
      <c r="O92" s="344"/>
      <c r="P92" s="340"/>
      <c r="Q92" s="9"/>
      <c r="R92" s="343"/>
      <c r="S92" s="345"/>
      <c r="T92" s="346"/>
      <c r="U92" s="340"/>
      <c r="V92" s="9"/>
      <c r="W92" s="343"/>
      <c r="X92" s="343"/>
      <c r="Y92" s="10"/>
      <c r="Z92" s="348"/>
      <c r="AA92" s="317" t="s">
        <v>739</v>
      </c>
      <c r="AB92" s="13"/>
      <c r="AC92" s="11" t="s">
        <v>741</v>
      </c>
      <c r="AD92" s="12"/>
      <c r="AE92" s="113"/>
      <c r="AF92" s="112"/>
      <c r="AG92" s="248" t="s">
        <v>340</v>
      </c>
    </row>
    <row r="93" spans="2:33" s="55" customFormat="1" ht="25" customHeight="1" x14ac:dyDescent="0.2">
      <c r="B93" s="14" t="s">
        <v>742</v>
      </c>
      <c r="C93" s="349"/>
      <c r="D93" s="338"/>
      <c r="E93" s="350"/>
      <c r="F93" s="340"/>
      <c r="G93" s="341"/>
      <c r="H93" s="349"/>
      <c r="I93" s="12"/>
      <c r="J93" s="339"/>
      <c r="K93" s="349"/>
      <c r="L93" s="351"/>
      <c r="M93" s="11"/>
      <c r="N93" s="352"/>
      <c r="O93" s="344"/>
      <c r="P93" s="340"/>
      <c r="Q93" s="9"/>
      <c r="R93" s="343"/>
      <c r="S93" s="345"/>
      <c r="T93" s="346"/>
      <c r="U93" s="340"/>
      <c r="V93" s="9"/>
      <c r="W93" s="343"/>
      <c r="X93" s="343"/>
      <c r="Y93" s="10"/>
      <c r="Z93" s="348"/>
      <c r="AA93" s="317" t="s">
        <v>749</v>
      </c>
      <c r="AB93" s="13"/>
      <c r="AC93" s="11" t="s">
        <v>741</v>
      </c>
      <c r="AD93" s="12" t="s">
        <v>740</v>
      </c>
      <c r="AE93" s="113"/>
      <c r="AF93" s="112"/>
      <c r="AG93" s="248" t="s">
        <v>340</v>
      </c>
    </row>
    <row r="94" spans="2:33" s="55" customFormat="1" ht="25" customHeight="1" x14ac:dyDescent="0.2">
      <c r="B94" s="14" t="s">
        <v>743</v>
      </c>
      <c r="C94" s="349"/>
      <c r="D94" s="338"/>
      <c r="E94" s="350"/>
      <c r="F94" s="340"/>
      <c r="G94" s="341"/>
      <c r="H94" s="349"/>
      <c r="I94" s="12"/>
      <c r="J94" s="339"/>
      <c r="K94" s="349"/>
      <c r="L94" s="351"/>
      <c r="M94" s="11"/>
      <c r="N94" s="352"/>
      <c r="O94" s="344"/>
      <c r="P94" s="340"/>
      <c r="Q94" s="9"/>
      <c r="R94" s="343"/>
      <c r="S94" s="345"/>
      <c r="T94" s="346"/>
      <c r="U94" s="340"/>
      <c r="V94" s="9"/>
      <c r="W94" s="343"/>
      <c r="X94" s="343"/>
      <c r="Y94" s="10"/>
      <c r="Z94" s="348"/>
      <c r="AA94" s="317" t="s">
        <v>744</v>
      </c>
      <c r="AB94" s="13"/>
      <c r="AC94" s="11" t="s">
        <v>741</v>
      </c>
      <c r="AD94" s="12"/>
      <c r="AE94" s="113"/>
      <c r="AF94" s="112"/>
      <c r="AG94" s="248" t="s">
        <v>746</v>
      </c>
    </row>
    <row r="95" spans="2:33" s="55" customFormat="1" ht="25" customHeight="1" x14ac:dyDescent="0.2">
      <c r="B95" s="14" t="s">
        <v>745</v>
      </c>
      <c r="C95" s="349"/>
      <c r="D95" s="338"/>
      <c r="E95" s="350"/>
      <c r="F95" s="340"/>
      <c r="G95" s="341"/>
      <c r="H95" s="349"/>
      <c r="I95" s="12"/>
      <c r="J95" s="339"/>
      <c r="K95" s="349"/>
      <c r="L95" s="351"/>
      <c r="M95" s="11"/>
      <c r="N95" s="352"/>
      <c r="O95" s="344"/>
      <c r="P95" s="340"/>
      <c r="Q95" s="9"/>
      <c r="R95" s="343"/>
      <c r="S95" s="345"/>
      <c r="T95" s="346"/>
      <c r="U95" s="340"/>
      <c r="V95" s="9"/>
      <c r="W95" s="343"/>
      <c r="X95" s="343"/>
      <c r="Y95" s="10"/>
      <c r="Z95" s="348"/>
      <c r="AA95" s="317" t="s">
        <v>748</v>
      </c>
      <c r="AB95" s="13"/>
      <c r="AC95" s="11" t="s">
        <v>741</v>
      </c>
      <c r="AD95" s="12"/>
      <c r="AE95" s="113"/>
      <c r="AF95" s="112"/>
      <c r="AG95" s="248" t="s">
        <v>746</v>
      </c>
    </row>
    <row r="96" spans="2:33" s="55" customFormat="1" ht="25" customHeight="1" x14ac:dyDescent="0.2">
      <c r="B96" s="14" t="s">
        <v>611</v>
      </c>
      <c r="C96" s="349">
        <v>500</v>
      </c>
      <c r="D96" s="338" t="s">
        <v>8</v>
      </c>
      <c r="E96" s="350">
        <v>1</v>
      </c>
      <c r="F96" s="340">
        <f t="shared" si="2"/>
        <v>500</v>
      </c>
      <c r="G96" s="341" t="str">
        <f t="shared" si="3"/>
        <v>micrograms /mL</v>
      </c>
      <c r="H96" s="349">
        <v>0</v>
      </c>
      <c r="I96" s="12">
        <v>500</v>
      </c>
      <c r="J96" s="339" t="str">
        <f t="shared" si="4"/>
        <v>micrograms</v>
      </c>
      <c r="K96" s="349" t="s">
        <v>15</v>
      </c>
      <c r="L96" s="351">
        <v>10</v>
      </c>
      <c r="M96" s="11" t="str">
        <f t="shared" si="5"/>
        <v/>
      </c>
      <c r="N96" s="352"/>
      <c r="O96" s="344" t="str">
        <f t="shared" si="6"/>
        <v>micrograms/kg</v>
      </c>
      <c r="P96" s="340">
        <f t="shared" si="7"/>
        <v>35</v>
      </c>
      <c r="Q96" s="9" t="str">
        <f t="shared" si="8"/>
        <v/>
      </c>
      <c r="R96" s="343"/>
      <c r="S96" s="345" t="str">
        <f t="shared" si="0"/>
        <v>micrograms</v>
      </c>
      <c r="T96" s="346">
        <v>2</v>
      </c>
      <c r="U96" s="340">
        <f t="shared" si="10"/>
        <v>7.0000000000000007E-2</v>
      </c>
      <c r="V96" s="9"/>
      <c r="W96" s="343"/>
      <c r="X96" s="343" t="str">
        <f t="shared" si="12"/>
        <v>mL</v>
      </c>
      <c r="Y96" s="10">
        <v>2</v>
      </c>
      <c r="Z96" s="348"/>
      <c r="AA96" s="534" t="str">
        <f>"Dilute "&amp;$U96&amp;" mL to 5 mL N/S"&amp;CHAR(10)&amp;" Slow push over 2 minutes"</f>
        <v>Dilute 0.07 mL to 5 mL N/S
 Slow push over 2 minutes</v>
      </c>
      <c r="AB96" s="13"/>
      <c r="AC96" s="579" t="str">
        <f>"10 mcg/kg = "&amp;P96&amp;" micrograms"</f>
        <v>10 mcg/kg = 35 micrograms</v>
      </c>
      <c r="AD96" s="580" t="str">
        <f>IFERROR(IF(Admin!$X$61="On","max = 500 micrograms",0),0)</f>
        <v>max = 500 micrograms</v>
      </c>
      <c r="AE96" s="113" t="str">
        <f t="shared" si="74"/>
        <v>No</v>
      </c>
      <c r="AF96" s="112"/>
      <c r="AG96" s="248" t="s">
        <v>340</v>
      </c>
    </row>
    <row r="97" spans="2:33" s="55" customFormat="1" ht="25" customHeight="1" x14ac:dyDescent="0.2">
      <c r="B97" s="14" t="s">
        <v>612</v>
      </c>
      <c r="C97" s="349">
        <v>250</v>
      </c>
      <c r="D97" s="338" t="s">
        <v>7</v>
      </c>
      <c r="E97" s="350">
        <v>10</v>
      </c>
      <c r="F97" s="340">
        <f t="shared" si="2"/>
        <v>25</v>
      </c>
      <c r="G97" s="341" t="str">
        <f t="shared" si="3"/>
        <v>mg /mL</v>
      </c>
      <c r="H97" s="349">
        <v>0</v>
      </c>
      <c r="I97" s="12">
        <v>500</v>
      </c>
      <c r="J97" s="339" t="str">
        <f t="shared" si="4"/>
        <v>mg</v>
      </c>
      <c r="K97" s="349" t="s">
        <v>15</v>
      </c>
      <c r="L97" s="351">
        <v>10</v>
      </c>
      <c r="M97" s="11" t="str">
        <f t="shared" si="5"/>
        <v/>
      </c>
      <c r="N97" s="352"/>
      <c r="O97" s="344" t="str">
        <f t="shared" si="6"/>
        <v>mg/kg</v>
      </c>
      <c r="P97" s="340">
        <f t="shared" si="7"/>
        <v>35</v>
      </c>
      <c r="Q97" s="9" t="str">
        <f t="shared" si="8"/>
        <v/>
      </c>
      <c r="R97" s="343"/>
      <c r="S97" s="345" t="str">
        <f t="shared" si="0"/>
        <v>mg</v>
      </c>
      <c r="T97" s="346">
        <v>2</v>
      </c>
      <c r="U97" s="340">
        <f t="shared" si="10"/>
        <v>1.4</v>
      </c>
      <c r="V97" s="9"/>
      <c r="W97" s="343"/>
      <c r="X97" s="343" t="str">
        <f t="shared" si="12"/>
        <v>mL</v>
      </c>
      <c r="Y97" s="10">
        <v>1</v>
      </c>
      <c r="Z97" s="348"/>
      <c r="AA97" s="318" t="str">
        <f>IF(OR(ISTEXT($L$2),$L$2&lt;0.7),"Not recommended at this age","Dilute "&amp;$U97&amp;" mL to 50 mL N/S"&amp;CHAR(10)&amp;" Infuse over 1 hour")</f>
        <v>Not recommended at this age</v>
      </c>
      <c r="AB97" s="13"/>
      <c r="AC97" s="249">
        <f>IF(OR(ISTEXT($L$2),$L$2&lt;0.7),0,"10 mg/kg = "&amp;P97&amp;" mg")</f>
        <v>0</v>
      </c>
      <c r="AD97" s="250">
        <f>IF(OR(ISTEXT($L$2),$L$2&lt;0.7),0,IF(Admin!$X$61="On","max = 500 mg",0))</f>
        <v>0</v>
      </c>
      <c r="AE97" s="113" t="str">
        <f t="shared" si="74"/>
        <v>No</v>
      </c>
      <c r="AF97" s="112"/>
      <c r="AG97" s="248" t="s">
        <v>341</v>
      </c>
    </row>
    <row r="98" spans="2:33" s="55" customFormat="1" ht="25" customHeight="1" x14ac:dyDescent="0.2">
      <c r="B98" s="14" t="s">
        <v>289</v>
      </c>
      <c r="C98" s="349">
        <v>100</v>
      </c>
      <c r="D98" s="338" t="s">
        <v>7</v>
      </c>
      <c r="E98" s="350">
        <v>2</v>
      </c>
      <c r="F98" s="340">
        <f t="shared" si="2"/>
        <v>50</v>
      </c>
      <c r="G98" s="341" t="str">
        <f t="shared" si="3"/>
        <v>mg /mL</v>
      </c>
      <c r="H98" s="349">
        <v>0</v>
      </c>
      <c r="I98" s="12">
        <v>100</v>
      </c>
      <c r="J98" s="339" t="str">
        <f t="shared" si="4"/>
        <v>mg</v>
      </c>
      <c r="K98" s="349" t="s">
        <v>15</v>
      </c>
      <c r="L98" s="351">
        <v>4</v>
      </c>
      <c r="M98" s="11" t="str">
        <f t="shared" si="5"/>
        <v/>
      </c>
      <c r="N98" s="352"/>
      <c r="O98" s="344" t="str">
        <f t="shared" si="6"/>
        <v>mg/kg</v>
      </c>
      <c r="P98" s="340">
        <f t="shared" si="7"/>
        <v>14</v>
      </c>
      <c r="Q98" s="9" t="str">
        <f t="shared" si="8"/>
        <v/>
      </c>
      <c r="R98" s="343"/>
      <c r="S98" s="345" t="str">
        <f t="shared" si="0"/>
        <v>mg</v>
      </c>
      <c r="T98" s="346">
        <v>2</v>
      </c>
      <c r="U98" s="340">
        <f t="shared" si="10"/>
        <v>0.3</v>
      </c>
      <c r="V98" s="9"/>
      <c r="W98" s="343"/>
      <c r="X98" s="343" t="str">
        <f t="shared" si="12"/>
        <v>mL</v>
      </c>
      <c r="Y98" s="10">
        <v>1</v>
      </c>
      <c r="Z98" s="348"/>
      <c r="AA98" s="317" t="str">
        <f>U98&amp;" mL"</f>
        <v>0.3 mL</v>
      </c>
      <c r="AB98" s="13" t="s">
        <v>797</v>
      </c>
      <c r="AC98" s="11" t="str">
        <f>"4 mg/kg = "&amp;P98&amp;" mg"</f>
        <v>4 mg/kg = 14 mg</v>
      </c>
      <c r="AD98" s="12" t="str">
        <f>IFERROR(IF(Admin!$X$61="On","max = 100 mg",0),0)</f>
        <v>max = 100 mg</v>
      </c>
      <c r="AE98" s="113" t="str">
        <f t="shared" si="74"/>
        <v>No</v>
      </c>
      <c r="AF98" s="112"/>
      <c r="AG98" s="248" t="s">
        <v>344</v>
      </c>
    </row>
    <row r="99" spans="2:33" s="55" customFormat="1" ht="25" customHeight="1" x14ac:dyDescent="0.2">
      <c r="B99" s="14" t="s">
        <v>346</v>
      </c>
      <c r="C99" s="349">
        <v>10</v>
      </c>
      <c r="D99" s="338" t="s">
        <v>32</v>
      </c>
      <c r="E99" s="350">
        <v>5</v>
      </c>
      <c r="F99" s="340">
        <f t="shared" si="2"/>
        <v>2</v>
      </c>
      <c r="G99" s="341" t="str">
        <f t="shared" si="3"/>
        <v>mmol /mL</v>
      </c>
      <c r="H99" s="349">
        <v>0</v>
      </c>
      <c r="I99" s="12">
        <v>10</v>
      </c>
      <c r="J99" s="339" t="str">
        <f t="shared" si="4"/>
        <v>mmol</v>
      </c>
      <c r="K99" s="349" t="s">
        <v>15</v>
      </c>
      <c r="L99" s="351">
        <v>0.2</v>
      </c>
      <c r="M99" s="11" t="str">
        <f t="shared" si="5"/>
        <v/>
      </c>
      <c r="N99" s="352"/>
      <c r="O99" s="344" t="str">
        <f t="shared" si="6"/>
        <v>mmol/kg</v>
      </c>
      <c r="P99" s="340">
        <f t="shared" si="7"/>
        <v>0.7</v>
      </c>
      <c r="Q99" s="9" t="str">
        <f t="shared" si="8"/>
        <v/>
      </c>
      <c r="R99" s="343"/>
      <c r="S99" s="345" t="str">
        <f t="shared" si="0"/>
        <v>mmol</v>
      </c>
      <c r="T99" s="346">
        <v>2</v>
      </c>
      <c r="U99" s="340">
        <f t="shared" si="10"/>
        <v>0.4</v>
      </c>
      <c r="V99" s="9"/>
      <c r="W99" s="343"/>
      <c r="X99" s="343" t="str">
        <f t="shared" si="12"/>
        <v>mL</v>
      </c>
      <c r="Y99" s="357">
        <v>1</v>
      </c>
      <c r="Z99" s="348"/>
      <c r="AA99" s="534" t="str">
        <f>"Dilute "&amp;$U99&amp;" mL to 20 mL N/S"&amp;CHAR(10)&amp;" Infuse over 20 minutes"</f>
        <v>Dilute 0.4 mL to 20 mL N/S
 Infuse over 20 minutes</v>
      </c>
      <c r="AB99" s="13" t="s">
        <v>439</v>
      </c>
      <c r="AC99" s="579" t="str">
        <f>"0.2 mmol/kg = "&amp;P99&amp;" mmol"</f>
        <v>0.2 mmol/kg = 0.7 mmol</v>
      </c>
      <c r="AD99" s="580" t="str">
        <f>IFERROR(IF(Admin!$X$61="On","max = 10 mmol",0),0)</f>
        <v>max = 10 mmol</v>
      </c>
      <c r="AE99" s="113" t="str">
        <f t="shared" si="74"/>
        <v>No</v>
      </c>
      <c r="AF99" s="112"/>
      <c r="AG99" s="248" t="s">
        <v>480</v>
      </c>
    </row>
    <row r="100" spans="2:33" s="55" customFormat="1" ht="25" customHeight="1" x14ac:dyDescent="0.2">
      <c r="B100" s="14"/>
      <c r="C100" s="349"/>
      <c r="D100" s="338"/>
      <c r="E100" s="350"/>
      <c r="F100" s="340" t="str">
        <f t="shared" si="2"/>
        <v/>
      </c>
      <c r="G100" s="341" t="str">
        <f t="shared" si="3"/>
        <v/>
      </c>
      <c r="H100" s="349"/>
      <c r="I100" s="12"/>
      <c r="J100" s="339" t="str">
        <f t="shared" si="4"/>
        <v/>
      </c>
      <c r="K100" s="349"/>
      <c r="L100" s="351"/>
      <c r="M100" s="11" t="str">
        <f t="shared" si="5"/>
        <v/>
      </c>
      <c r="N100" s="352"/>
      <c r="O100" s="344" t="str">
        <f t="shared" si="6"/>
        <v/>
      </c>
      <c r="P100" s="340" t="str">
        <f t="shared" si="7"/>
        <v/>
      </c>
      <c r="Q100" s="9" t="str">
        <f t="shared" si="8"/>
        <v/>
      </c>
      <c r="R100" s="343"/>
      <c r="S100" s="345" t="str">
        <f t="shared" si="0"/>
        <v/>
      </c>
      <c r="T100" s="346"/>
      <c r="U100" s="340" t="str">
        <f t="shared" si="10"/>
        <v/>
      </c>
      <c r="V100" s="9"/>
      <c r="W100" s="343"/>
      <c r="X100" s="343" t="str">
        <f t="shared" si="12"/>
        <v/>
      </c>
      <c r="Y100" s="10"/>
      <c r="Z100" s="348"/>
      <c r="AA100" s="317" t="str">
        <f t="shared" si="13"/>
        <v/>
      </c>
      <c r="AB100" s="13"/>
      <c r="AC100" s="11"/>
      <c r="AD100" s="12"/>
      <c r="AE100" s="113" t="str">
        <f t="shared" si="74"/>
        <v/>
      </c>
      <c r="AF100" s="112"/>
      <c r="AG100" s="248"/>
    </row>
    <row r="101" spans="2:33" s="55" customFormat="1" ht="25" customHeight="1" x14ac:dyDescent="0.2">
      <c r="B101" s="14" t="s">
        <v>323</v>
      </c>
      <c r="C101" s="349"/>
      <c r="D101" s="338" t="s">
        <v>29</v>
      </c>
      <c r="E101" s="350"/>
      <c r="F101" s="340" t="str">
        <f t="shared" si="2"/>
        <v/>
      </c>
      <c r="G101" s="341" t="str">
        <f t="shared" si="3"/>
        <v>mL /mL</v>
      </c>
      <c r="H101" s="349"/>
      <c r="I101" s="12"/>
      <c r="J101" s="339" t="str">
        <f t="shared" si="4"/>
        <v>mL</v>
      </c>
      <c r="K101" s="349"/>
      <c r="L101" s="351"/>
      <c r="M101" s="11" t="str">
        <f t="shared" si="5"/>
        <v/>
      </c>
      <c r="N101" s="352"/>
      <c r="O101" s="344" t="str">
        <f t="shared" si="6"/>
        <v>mL/kg</v>
      </c>
      <c r="P101" s="340" t="str">
        <f t="shared" si="7"/>
        <v/>
      </c>
      <c r="Q101" s="9" t="str">
        <f t="shared" si="8"/>
        <v/>
      </c>
      <c r="R101" s="343"/>
      <c r="S101" s="345" t="str">
        <f t="shared" si="0"/>
        <v>mL</v>
      </c>
      <c r="T101" s="346"/>
      <c r="U101" s="340" t="str">
        <f t="shared" si="10"/>
        <v/>
      </c>
      <c r="V101" s="9"/>
      <c r="W101" s="343"/>
      <c r="X101" s="343" t="str">
        <f t="shared" si="12"/>
        <v/>
      </c>
      <c r="Y101" s="10"/>
      <c r="Z101" s="348"/>
      <c r="AA101" s="317" t="str">
        <f>VLOOKUP("Yes",FluidTable,4,FALSE)&amp;" mL/hr"</f>
        <v>10 mL/hr</v>
      </c>
      <c r="AB101" s="13" t="s">
        <v>327</v>
      </c>
      <c r="AC101" s="256" t="str">
        <f>IF(OR(Front!$E$12&lt;&gt;0,Front!$G$12&lt;&gt;0,Front!$I$12&lt;&gt;0),IF(OR('Weight Estimations'!$C$4&gt;1,'Weight Estimations'!$C$3&gt;=6),"500 mL bag of 5% Glucose","500 mL bag of 10% Glucose"),"Enter age for fluid preparation")</f>
        <v>Enter age for fluid preparation</v>
      </c>
      <c r="AD101" s="255">
        <f>IF(LEFT($AC$101,5)="Enter",0,"add 72 mmol NaCl +/- 20 mmol KCl")</f>
        <v>0</v>
      </c>
      <c r="AE101" s="113" t="str">
        <f t="shared" si="74"/>
        <v/>
      </c>
      <c r="AF101" s="112"/>
      <c r="AG101" s="248" t="s">
        <v>478</v>
      </c>
    </row>
    <row r="102" spans="2:33" s="55" customFormat="1" ht="25" customHeight="1" x14ac:dyDescent="0.2">
      <c r="B102" s="14" t="s">
        <v>325</v>
      </c>
      <c r="C102" s="349"/>
      <c r="D102" s="338" t="s">
        <v>29</v>
      </c>
      <c r="E102" s="350"/>
      <c r="F102" s="340" t="str">
        <f t="shared" si="2"/>
        <v/>
      </c>
      <c r="G102" s="341" t="str">
        <f t="shared" si="3"/>
        <v>mL /mL</v>
      </c>
      <c r="H102" s="349"/>
      <c r="I102" s="12"/>
      <c r="J102" s="339" t="str">
        <f t="shared" si="4"/>
        <v>mL</v>
      </c>
      <c r="K102" s="349"/>
      <c r="L102" s="351"/>
      <c r="M102" s="11" t="str">
        <f t="shared" si="5"/>
        <v/>
      </c>
      <c r="N102" s="352"/>
      <c r="O102" s="344" t="str">
        <f t="shared" si="6"/>
        <v>mL/kg</v>
      </c>
      <c r="P102" s="340" t="str">
        <f t="shared" si="7"/>
        <v/>
      </c>
      <c r="Q102" s="9" t="str">
        <f t="shared" si="8"/>
        <v/>
      </c>
      <c r="R102" s="343" t="str">
        <f t="shared" si="9"/>
        <v/>
      </c>
      <c r="S102" s="345" t="str">
        <f t="shared" si="0"/>
        <v>mL</v>
      </c>
      <c r="T102" s="346"/>
      <c r="U102" s="340" t="str">
        <f t="shared" si="10"/>
        <v/>
      </c>
      <c r="V102" s="9" t="str">
        <f t="shared" si="1"/>
        <v/>
      </c>
      <c r="W102" s="343" t="str">
        <f t="shared" si="11"/>
        <v/>
      </c>
      <c r="X102" s="343" t="str">
        <f t="shared" si="12"/>
        <v/>
      </c>
      <c r="Y102" s="10"/>
      <c r="Z102" s="348"/>
      <c r="AA102" s="317" t="str">
        <f>VLOOKUP("Yes",FluidTable,4,FALSE)&amp;" mL/hr"</f>
        <v>10 mL/hr</v>
      </c>
      <c r="AB102" s="13" t="s">
        <v>327</v>
      </c>
      <c r="AC102" s="256" t="str">
        <f>IF(OR(Front!$E$12&lt;&gt;0,Front!$G$12&lt;&gt;0,Front!$I$12&lt;&gt;0),IF(OR('Weight Estimations'!$C$4&gt;1,'Weight Estimations'!$C$3&gt;=6),"5% Glucose + 0.9% Saline","10% Glucose + 0.9% Saline"),"Enter age for fluid preparation")</f>
        <v>Enter age for fluid preparation</v>
      </c>
      <c r="AD102" s="255">
        <f>IF(LEFT($AC$101,5)="Enter",0,"+/- 20 mmol KCl")</f>
        <v>0</v>
      </c>
      <c r="AE102" s="113" t="str">
        <f t="shared" si="74"/>
        <v/>
      </c>
      <c r="AF102" s="112"/>
      <c r="AG102" s="248" t="s">
        <v>479</v>
      </c>
    </row>
    <row r="103" spans="2:33" s="55" customFormat="1" ht="25" customHeight="1" x14ac:dyDescent="0.2">
      <c r="B103" s="14" t="s">
        <v>324</v>
      </c>
      <c r="C103" s="349"/>
      <c r="D103" s="338" t="s">
        <v>29</v>
      </c>
      <c r="E103" s="350"/>
      <c r="F103" s="340" t="str">
        <f t="shared" si="2"/>
        <v/>
      </c>
      <c r="G103" s="341" t="str">
        <f t="shared" si="3"/>
        <v>mL /mL</v>
      </c>
      <c r="H103" s="349"/>
      <c r="I103" s="12"/>
      <c r="J103" s="339" t="str">
        <f t="shared" si="4"/>
        <v>mL</v>
      </c>
      <c r="K103" s="349"/>
      <c r="L103" s="351"/>
      <c r="M103" s="11" t="str">
        <f t="shared" si="5"/>
        <v/>
      </c>
      <c r="N103" s="352"/>
      <c r="O103" s="344" t="str">
        <f t="shared" si="6"/>
        <v>mL/kg</v>
      </c>
      <c r="P103" s="340" t="str">
        <f t="shared" si="7"/>
        <v/>
      </c>
      <c r="Q103" s="9" t="str">
        <f t="shared" si="8"/>
        <v/>
      </c>
      <c r="R103" s="343" t="str">
        <f t="shared" si="9"/>
        <v/>
      </c>
      <c r="S103" s="345" t="str">
        <f t="shared" si="0"/>
        <v>mL</v>
      </c>
      <c r="T103" s="346"/>
      <c r="U103" s="340" t="str">
        <f t="shared" si="10"/>
        <v/>
      </c>
      <c r="V103" s="9" t="str">
        <f t="shared" si="1"/>
        <v/>
      </c>
      <c r="W103" s="343" t="str">
        <f t="shared" si="11"/>
        <v/>
      </c>
      <c r="X103" s="343" t="str">
        <f t="shared" si="12"/>
        <v/>
      </c>
      <c r="Y103" s="10"/>
      <c r="Z103" s="348"/>
      <c r="AA103" s="317" t="str">
        <f>VLOOKUP("Yes",FluidTable,4,FALSE)&amp;" mL/hr"</f>
        <v>10 mL/hr</v>
      </c>
      <c r="AB103" s="13" t="s">
        <v>327</v>
      </c>
      <c r="AC103" s="256" t="str">
        <f>IF(OR(Front!$E$12&lt;&gt;0,Front!$G$12&lt;&gt;0,Front!$I$12&lt;&gt;0),IF(OR('Weight Estimations'!$C$4&gt;1,'Weight Estimations'!$C$3&gt;=1),"5% Glucose + 0.9% Saline","10% Glucose + 0.9% Saline"),"Enter age for fluid preparation")</f>
        <v>Enter age for fluid preparation</v>
      </c>
      <c r="AD103" s="255">
        <f>IF(LEFT($AC$101,5)="Enter",0,"+/- 20 mmol KCl")</f>
        <v>0</v>
      </c>
      <c r="AE103" s="113" t="str">
        <f t="shared" si="74"/>
        <v/>
      </c>
      <c r="AF103" s="112"/>
      <c r="AG103" s="248" t="s">
        <v>478</v>
      </c>
    </row>
    <row r="104" spans="2:33" s="55" customFormat="1" ht="25" customHeight="1" x14ac:dyDescent="0.2">
      <c r="B104" s="14" t="s">
        <v>534</v>
      </c>
      <c r="C104" s="349"/>
      <c r="D104" s="338" t="s">
        <v>29</v>
      </c>
      <c r="E104" s="350"/>
      <c r="F104" s="340" t="str">
        <f t="shared" si="2"/>
        <v/>
      </c>
      <c r="G104" s="341" t="str">
        <f t="shared" si="3"/>
        <v>mL /mL</v>
      </c>
      <c r="H104" s="349"/>
      <c r="I104" s="12"/>
      <c r="J104" s="339" t="str">
        <f t="shared" si="4"/>
        <v>mL</v>
      </c>
      <c r="K104" s="349"/>
      <c r="L104" s="351"/>
      <c r="M104" s="11" t="str">
        <f t="shared" si="5"/>
        <v/>
      </c>
      <c r="N104" s="352"/>
      <c r="O104" s="344" t="str">
        <f t="shared" si="6"/>
        <v>mL/kg</v>
      </c>
      <c r="P104" s="340" t="str">
        <f t="shared" si="7"/>
        <v/>
      </c>
      <c r="Q104" s="9" t="str">
        <f t="shared" si="8"/>
        <v/>
      </c>
      <c r="R104" s="343" t="str">
        <f t="shared" si="9"/>
        <v/>
      </c>
      <c r="S104" s="345" t="str">
        <f t="shared" si="0"/>
        <v>mL</v>
      </c>
      <c r="T104" s="346"/>
      <c r="U104" s="340" t="str">
        <f t="shared" si="10"/>
        <v/>
      </c>
      <c r="V104" s="9" t="str">
        <f t="shared" si="1"/>
        <v/>
      </c>
      <c r="W104" s="343" t="str">
        <f t="shared" si="11"/>
        <v/>
      </c>
      <c r="X104" s="343" t="str">
        <f t="shared" si="12"/>
        <v/>
      </c>
      <c r="Y104" s="10"/>
      <c r="Z104" s="348"/>
      <c r="AA104" s="317" t="str">
        <f>MROUND(((400*Calculations!$C$192)/24),0.1)&amp;" mL/hr"</f>
        <v>4 mL/hr</v>
      </c>
      <c r="AB104" s="13" t="str">
        <f>"based on ESTIMATED BSA of "&amp;Calculations!$C$192&amp;" m2"</f>
        <v>based on ESTIMATED BSA of 0.24 m2</v>
      </c>
      <c r="AC104" s="11" t="str">
        <f>"400 mL/m2/day = "&amp;(400*Calculations!$C$192)&amp;" mL/day = "&amp;AA104</f>
        <v>400 mL/m2/day = 96 mL/day = 4 mL/hr</v>
      </c>
      <c r="AD104" s="12" t="s">
        <v>535</v>
      </c>
      <c r="AE104" s="113" t="str">
        <f t="shared" si="74"/>
        <v/>
      </c>
      <c r="AF104" s="112"/>
      <c r="AG104" s="248"/>
    </row>
    <row r="105" spans="2:33" s="55" customFormat="1" ht="25" customHeight="1" x14ac:dyDescent="0.2">
      <c r="B105" s="535"/>
      <c r="C105" s="536"/>
      <c r="D105" s="537"/>
      <c r="E105" s="538"/>
      <c r="F105" s="539" t="str">
        <f t="shared" si="2"/>
        <v/>
      </c>
      <c r="G105" s="540" t="str">
        <f t="shared" si="3"/>
        <v/>
      </c>
      <c r="H105" s="536"/>
      <c r="I105" s="541"/>
      <c r="J105" s="538" t="str">
        <f t="shared" ref="J105:J129" si="75">IF(D105="","",D105)</f>
        <v/>
      </c>
      <c r="K105" s="536"/>
      <c r="L105" s="542"/>
      <c r="M105" s="543" t="str">
        <f t="shared" ref="M105:M129" si="76">IF(K105="Yes","to","")</f>
        <v/>
      </c>
      <c r="N105" s="544"/>
      <c r="O105" s="545" t="str">
        <f t="shared" si="6"/>
        <v/>
      </c>
      <c r="P105" s="539" t="str">
        <f t="shared" ref="P105:P129" si="77">IFERROR(ROUND(IF($L105=0,"",IF(($L105*$C$2)&lt;$H105,$H105,IF(($L105*$C$2)&gt;$I105,$I105,($L105*$C$2)))),T105),"")</f>
        <v/>
      </c>
      <c r="Q105" s="543" t="str">
        <f t="shared" si="8"/>
        <v/>
      </c>
      <c r="R105" s="544"/>
      <c r="S105" s="546" t="str">
        <f t="shared" ref="S105:S129" si="78">IF(D105="","",D105)</f>
        <v/>
      </c>
      <c r="T105" s="547"/>
      <c r="U105" s="539" t="str">
        <f t="shared" ref="U105:U129" si="79">IFERROR(ROUND(($P105/$F105),Y105),"")</f>
        <v/>
      </c>
      <c r="V105" s="543"/>
      <c r="W105" s="544"/>
      <c r="X105" s="544" t="str">
        <f t="shared" ref="X105:X129" si="80">IF(U105="","","mL")</f>
        <v/>
      </c>
      <c r="Y105" s="541"/>
      <c r="Z105" s="548"/>
      <c r="AA105" s="549" t="str">
        <f t="shared" si="13"/>
        <v/>
      </c>
      <c r="AB105" s="549"/>
      <c r="AC105" s="543"/>
      <c r="AD105" s="541"/>
      <c r="AE105" s="550" t="str">
        <f t="shared" si="74"/>
        <v/>
      </c>
      <c r="AF105" s="551"/>
      <c r="AG105" s="552"/>
    </row>
    <row r="106" spans="2:33" s="55" customFormat="1" ht="25" customHeight="1" x14ac:dyDescent="0.2">
      <c r="B106" s="363" t="s">
        <v>762</v>
      </c>
      <c r="C106" s="585">
        <v>2.5</v>
      </c>
      <c r="D106" s="586" t="s">
        <v>7</v>
      </c>
      <c r="E106" s="587">
        <v>5</v>
      </c>
      <c r="F106" s="401">
        <f t="shared" si="2"/>
        <v>0.5</v>
      </c>
      <c r="G106" s="588" t="str">
        <f t="shared" si="3"/>
        <v>mg /mL</v>
      </c>
      <c r="H106" s="585">
        <v>0</v>
      </c>
      <c r="I106" s="589">
        <v>2.5</v>
      </c>
      <c r="J106" s="587" t="str">
        <f t="shared" ref="J106" si="81">IF(D106="","",D106)</f>
        <v>mg</v>
      </c>
      <c r="K106" s="585" t="s">
        <v>15</v>
      </c>
      <c r="L106" s="369">
        <v>0.05</v>
      </c>
      <c r="M106" s="228" t="str">
        <f t="shared" ref="M106" si="82">IF(K106="Yes","to","")</f>
        <v/>
      </c>
      <c r="N106" s="590"/>
      <c r="O106" s="402" t="str">
        <f t="shared" si="6"/>
        <v>mg/kg</v>
      </c>
      <c r="P106" s="401">
        <f t="shared" ref="P106" si="83">IFERROR(ROUND(IF($L106=0,"",IF(($L106*$C$2)&lt;$H106,$H106,IF(($L106*$C$2)&gt;$I106,$I106,($L106*$C$2)))),T106),"")</f>
        <v>0.18</v>
      </c>
      <c r="Q106" s="228" t="str">
        <f t="shared" si="8"/>
        <v/>
      </c>
      <c r="R106" s="590"/>
      <c r="S106" s="591" t="str">
        <f t="shared" ref="S106" si="84">IF(D106="","",D106)</f>
        <v>mg</v>
      </c>
      <c r="T106" s="17">
        <v>2</v>
      </c>
      <c r="U106" s="401">
        <f t="shared" ref="U106" si="85">IFERROR(ROUND(($P106/$F106),Y106),"")</f>
        <v>0.4</v>
      </c>
      <c r="V106" s="228"/>
      <c r="W106" s="590"/>
      <c r="X106" s="590" t="str">
        <f t="shared" ref="X106" si="86">IF(U106="","","mL")</f>
        <v>mL</v>
      </c>
      <c r="Y106" s="589">
        <v>1</v>
      </c>
      <c r="Z106" s="592"/>
      <c r="AA106" s="593" t="str">
        <f>"Dilute 1 mL vial to 5 mL N/S"&amp;CHAR(10)&amp;" DOSE: "&amp;U106&amp;" mL of dilution"</f>
        <v>Dilute 1 mL vial to 5 mL N/S
 DOSE: 0.4 mL of dilution</v>
      </c>
      <c r="AB106" s="593"/>
      <c r="AC106" s="228" t="str">
        <f>"0.05 mg/kg = "&amp;P106&amp;" mg"</f>
        <v>0.05 mg/kg = 0.18 mg</v>
      </c>
      <c r="AD106" s="589" t="str">
        <f>IFERROR(IF(Admin!$X$61="On","max = 2.5 mg",0),0)</f>
        <v>max = 2.5 mg</v>
      </c>
      <c r="AE106" s="594" t="str">
        <f t="shared" si="74"/>
        <v>No</v>
      </c>
      <c r="AF106" s="595"/>
      <c r="AG106" s="596"/>
    </row>
    <row r="107" spans="2:33" s="55" customFormat="1" ht="25" customHeight="1" x14ac:dyDescent="0.2">
      <c r="B107" s="190" t="s">
        <v>726</v>
      </c>
      <c r="C107" s="553">
        <v>2.5</v>
      </c>
      <c r="D107" s="554" t="s">
        <v>7</v>
      </c>
      <c r="E107" s="555">
        <v>5</v>
      </c>
      <c r="F107" s="95">
        <f t="shared" si="2"/>
        <v>0.5</v>
      </c>
      <c r="G107" s="556" t="str">
        <f t="shared" si="3"/>
        <v>mg /mL</v>
      </c>
      <c r="H107" s="553">
        <v>0</v>
      </c>
      <c r="I107" s="557">
        <v>2.5</v>
      </c>
      <c r="J107" s="555" t="str">
        <f t="shared" si="75"/>
        <v>mg</v>
      </c>
      <c r="K107" s="553" t="s">
        <v>15</v>
      </c>
      <c r="L107" s="191">
        <v>0.05</v>
      </c>
      <c r="M107" s="109" t="str">
        <f t="shared" si="76"/>
        <v/>
      </c>
      <c r="N107" s="558"/>
      <c r="O107" s="395" t="str">
        <f t="shared" si="6"/>
        <v>mg/kg</v>
      </c>
      <c r="P107" s="95">
        <f t="shared" si="77"/>
        <v>0.18</v>
      </c>
      <c r="Q107" s="109" t="str">
        <f t="shared" si="8"/>
        <v/>
      </c>
      <c r="R107" s="558"/>
      <c r="S107" s="559" t="str">
        <f t="shared" si="78"/>
        <v>mg</v>
      </c>
      <c r="T107" s="19">
        <v>2</v>
      </c>
      <c r="U107" s="95">
        <f t="shared" si="79"/>
        <v>0.4</v>
      </c>
      <c r="V107" s="109"/>
      <c r="W107" s="558"/>
      <c r="X107" s="558" t="str">
        <f t="shared" si="80"/>
        <v>mL</v>
      </c>
      <c r="Y107" s="557">
        <v>1</v>
      </c>
      <c r="Z107" s="560"/>
      <c r="AA107" s="561" t="str">
        <f>"Dilute 1 mL vial to 5 mL N/S"&amp;CHAR(10)&amp;" DOSE: "&amp;U107&amp;" mL of dilution"</f>
        <v>Dilute 1 mL vial to 5 mL N/S
 DOSE: 0.4 mL of dilution</v>
      </c>
      <c r="AB107" s="561" t="s">
        <v>725</v>
      </c>
      <c r="AC107" s="109" t="str">
        <f>"0.05 mg/kg (of neostigmine) = "&amp;P107&amp;" mg"</f>
        <v>0.05 mg/kg (of neostigmine) = 0.18 mg</v>
      </c>
      <c r="AD107" s="557" t="str">
        <f>IFERROR(IF(Admin!$X$61="On","max = 2.5 mg",0),0)</f>
        <v>max = 2.5 mg</v>
      </c>
      <c r="AE107" s="562" t="str">
        <f t="shared" si="74"/>
        <v>No</v>
      </c>
      <c r="AF107" s="563"/>
      <c r="AG107" s="564" t="s">
        <v>760</v>
      </c>
    </row>
    <row r="108" spans="2:33" s="55" customFormat="1" ht="25" customHeight="1" x14ac:dyDescent="0.2">
      <c r="B108" s="190" t="s">
        <v>727</v>
      </c>
      <c r="C108" s="553">
        <v>4</v>
      </c>
      <c r="D108" s="554" t="s">
        <v>7</v>
      </c>
      <c r="E108" s="555">
        <v>2</v>
      </c>
      <c r="F108" s="95">
        <f t="shared" si="2"/>
        <v>2</v>
      </c>
      <c r="G108" s="556" t="str">
        <f t="shared" si="3"/>
        <v>mg /mL</v>
      </c>
      <c r="H108" s="553">
        <v>0</v>
      </c>
      <c r="I108" s="557">
        <v>4</v>
      </c>
      <c r="J108" s="555" t="str">
        <f t="shared" si="75"/>
        <v>mg</v>
      </c>
      <c r="K108" s="553" t="s">
        <v>15</v>
      </c>
      <c r="L108" s="191">
        <v>0.15</v>
      </c>
      <c r="M108" s="109" t="str">
        <f t="shared" si="76"/>
        <v/>
      </c>
      <c r="N108" s="558"/>
      <c r="O108" s="395" t="str">
        <f t="shared" si="6"/>
        <v>mg/kg</v>
      </c>
      <c r="P108" s="95">
        <f t="shared" si="77"/>
        <v>0.53</v>
      </c>
      <c r="Q108" s="109" t="str">
        <f t="shared" si="8"/>
        <v/>
      </c>
      <c r="R108" s="558"/>
      <c r="S108" s="559" t="str">
        <f t="shared" si="78"/>
        <v>mg</v>
      </c>
      <c r="T108" s="19">
        <v>2</v>
      </c>
      <c r="U108" s="95">
        <f t="shared" si="79"/>
        <v>0.27</v>
      </c>
      <c r="V108" s="109"/>
      <c r="W108" s="558"/>
      <c r="X108" s="558" t="str">
        <f t="shared" si="80"/>
        <v>mL</v>
      </c>
      <c r="Y108" s="557">
        <v>2</v>
      </c>
      <c r="Z108" s="560"/>
      <c r="AA108" s="561" t="str">
        <f t="shared" si="13"/>
        <v>0.27 mL</v>
      </c>
      <c r="AB108" s="561"/>
      <c r="AC108" s="109" t="str">
        <f>"0.15 mg/kg = "&amp;P108&amp;" mg"</f>
        <v>0.15 mg/kg = 0.53 mg</v>
      </c>
      <c r="AD108" s="557" t="str">
        <f>IFERROR(IF(Admin!$X$61="On","max = 4 mg",0),0)</f>
        <v>max = 4 mg</v>
      </c>
      <c r="AE108" s="562" t="str">
        <f t="shared" si="74"/>
        <v>No</v>
      </c>
      <c r="AF108" s="563"/>
      <c r="AG108" s="564" t="s">
        <v>733</v>
      </c>
    </row>
    <row r="109" spans="2:33" s="55" customFormat="1" ht="25" customHeight="1" x14ac:dyDescent="0.2">
      <c r="B109" s="190" t="s">
        <v>758</v>
      </c>
      <c r="C109" s="553"/>
      <c r="D109" s="554"/>
      <c r="E109" s="555"/>
      <c r="F109" s="95"/>
      <c r="G109" s="556"/>
      <c r="H109" s="553"/>
      <c r="I109" s="557"/>
      <c r="J109" s="555"/>
      <c r="K109" s="553"/>
      <c r="L109" s="191"/>
      <c r="M109" s="109"/>
      <c r="N109" s="558"/>
      <c r="O109" s="395"/>
      <c r="P109" s="95"/>
      <c r="Q109" s="109"/>
      <c r="R109" s="558"/>
      <c r="S109" s="559"/>
      <c r="T109" s="19"/>
      <c r="U109" s="95"/>
      <c r="V109" s="109"/>
      <c r="W109" s="558"/>
      <c r="X109" s="558"/>
      <c r="Y109" s="557"/>
      <c r="Z109" s="560"/>
      <c r="AA109" s="561" t="str">
        <f>IF($C$2&lt;8,"Not recommended at this age",IF($C$2&lt;15,"2 mg",IF($C$2&lt;=30,"4 mg","8 mg")))</f>
        <v>Not recommended at this age</v>
      </c>
      <c r="AB109" s="561" t="s">
        <v>761</v>
      </c>
      <c r="AC109" s="109"/>
      <c r="AD109" s="557"/>
      <c r="AE109" s="562"/>
      <c r="AF109" s="563"/>
      <c r="AG109" s="564" t="s">
        <v>759</v>
      </c>
    </row>
    <row r="110" spans="2:33" s="55" customFormat="1" ht="25" customHeight="1" x14ac:dyDescent="0.2">
      <c r="B110" s="190" t="s">
        <v>728</v>
      </c>
      <c r="C110" s="553">
        <v>50</v>
      </c>
      <c r="D110" s="554" t="s">
        <v>7</v>
      </c>
      <c r="E110" s="555">
        <v>10</v>
      </c>
      <c r="F110" s="95">
        <f t="shared" si="2"/>
        <v>5</v>
      </c>
      <c r="G110" s="556" t="str">
        <f t="shared" si="3"/>
        <v>mg /mL</v>
      </c>
      <c r="H110" s="553">
        <v>0</v>
      </c>
      <c r="I110" s="581">
        <f>IF(L2&lt;12,25,50)</f>
        <v>50</v>
      </c>
      <c r="J110" s="555" t="str">
        <f t="shared" si="75"/>
        <v>mg</v>
      </c>
      <c r="K110" s="553" t="s">
        <v>15</v>
      </c>
      <c r="L110" s="191">
        <v>1</v>
      </c>
      <c r="M110" s="109"/>
      <c r="N110" s="558"/>
      <c r="O110" s="395" t="str">
        <f t="shared" si="6"/>
        <v>mg/kg</v>
      </c>
      <c r="P110" s="95">
        <f t="shared" si="77"/>
        <v>3.5</v>
      </c>
      <c r="Q110" s="109"/>
      <c r="R110" s="558" t="str">
        <f t="shared" ref="R110" si="87">IFERROR(ROUND(IF($N110=0,"",IF(($N110*$C$2)&lt;$H110,$H110,IF(($N110*$C$2)&gt;$I110,$I110,($N110*$C$2)))),T110),"")</f>
        <v/>
      </c>
      <c r="S110" s="559" t="str">
        <f t="shared" si="78"/>
        <v>mg</v>
      </c>
      <c r="T110" s="19">
        <v>2</v>
      </c>
      <c r="U110" s="95">
        <f t="shared" si="79"/>
        <v>0.7</v>
      </c>
      <c r="V110" s="109"/>
      <c r="W110" s="558" t="str">
        <f t="shared" ref="W110" si="88">IFERROR(ROUND(($R110/$F110),Y110),"")</f>
        <v/>
      </c>
      <c r="X110" s="558" t="str">
        <f t="shared" si="80"/>
        <v>mL</v>
      </c>
      <c r="Y110" s="557">
        <v>1</v>
      </c>
      <c r="Z110" s="560"/>
      <c r="AA110" s="561" t="str">
        <f>"Dilute 1 mL vial to 10 mL N/S"&amp;CHAR(10)&amp;" DOSE: "&amp;U110&amp;" mL of dilution"</f>
        <v>Dilute 1 mL vial to 10 mL N/S
 DOSE: 0.7 mL of dilution</v>
      </c>
      <c r="AB110" s="561"/>
      <c r="AC110" s="109" t="str">
        <f>"1 mg/kg = "&amp;P110&amp;" mg"</f>
        <v>1 mg/kg = 3.5 mg</v>
      </c>
      <c r="AD110" s="584" t="str">
        <f>IF(Admin!$X$61="On","max = "&amp;I110&amp;" mg",0)</f>
        <v>max = 50 mg</v>
      </c>
      <c r="AE110" s="562" t="str">
        <f t="shared" si="74"/>
        <v>No</v>
      </c>
      <c r="AF110" s="563"/>
      <c r="AG110" s="564" t="s">
        <v>729</v>
      </c>
    </row>
    <row r="111" spans="2:33" s="55" customFormat="1" ht="25" customHeight="1" x14ac:dyDescent="0.2">
      <c r="B111" s="190" t="s">
        <v>730</v>
      </c>
      <c r="C111" s="553">
        <v>10</v>
      </c>
      <c r="D111" s="554" t="s">
        <v>7</v>
      </c>
      <c r="E111" s="555">
        <v>2</v>
      </c>
      <c r="F111" s="95">
        <f t="shared" si="2"/>
        <v>5</v>
      </c>
      <c r="G111" s="556" t="str">
        <f t="shared" si="3"/>
        <v>mg /mL</v>
      </c>
      <c r="H111" s="553">
        <v>0</v>
      </c>
      <c r="I111" s="581">
        <f>IF(C2&lt;60,5,10)</f>
        <v>5</v>
      </c>
      <c r="J111" s="555" t="str">
        <f t="shared" si="75"/>
        <v>mg</v>
      </c>
      <c r="K111" s="553" t="s">
        <v>15</v>
      </c>
      <c r="L111" s="191">
        <v>0.1</v>
      </c>
      <c r="M111" s="109" t="str">
        <f t="shared" si="76"/>
        <v/>
      </c>
      <c r="N111" s="558"/>
      <c r="O111" s="395" t="str">
        <f t="shared" si="6"/>
        <v>mg/kg</v>
      </c>
      <c r="P111" s="95">
        <f t="shared" si="77"/>
        <v>0.35</v>
      </c>
      <c r="Q111" s="109" t="str">
        <f t="shared" si="8"/>
        <v/>
      </c>
      <c r="R111" s="558"/>
      <c r="S111" s="559" t="str">
        <f t="shared" si="78"/>
        <v>mg</v>
      </c>
      <c r="T111" s="19">
        <v>2</v>
      </c>
      <c r="U111" s="95">
        <f t="shared" si="79"/>
        <v>7.0000000000000007E-2</v>
      </c>
      <c r="V111" s="109"/>
      <c r="W111" s="558"/>
      <c r="X111" s="558" t="str">
        <f t="shared" si="80"/>
        <v>mL</v>
      </c>
      <c r="Y111" s="557">
        <v>2</v>
      </c>
      <c r="Z111" s="560"/>
      <c r="AA111" s="582" t="str">
        <f>IF($F$2="Yes",IF(OR(ISTEXT($L$2),$L$2&lt;1),"Not recommended at this age",U111&amp;" mL"),"Both age &amp; weight required")</f>
        <v>Both age &amp; weight required</v>
      </c>
      <c r="AB111" s="561"/>
      <c r="AC111" s="583">
        <f>IF($F$2="Yes",IF(OR(ISTEXT($L$2),$L$2&lt;1),0,"0.1 mg/kg = "&amp;P111&amp;" mg"),0)</f>
        <v>0</v>
      </c>
      <c r="AD111" s="584">
        <f>IF($F$2="Yes",IF(OR(ISTEXT($L$2),$L$2&lt;1),0,IF(Admin!$X$61="On","max = "&amp;I111&amp;" mg",0)),0)</f>
        <v>0</v>
      </c>
      <c r="AE111" s="562" t="str">
        <f t="shared" si="74"/>
        <v>No</v>
      </c>
      <c r="AF111" s="563"/>
      <c r="AG111" s="564" t="s">
        <v>731</v>
      </c>
    </row>
    <row r="112" spans="2:33" s="55" customFormat="1" ht="25" customHeight="1" x14ac:dyDescent="0.2">
      <c r="B112" s="190" t="s">
        <v>732</v>
      </c>
      <c r="C112" s="553">
        <v>2.5</v>
      </c>
      <c r="D112" s="554" t="s">
        <v>7</v>
      </c>
      <c r="E112" s="555">
        <v>10</v>
      </c>
      <c r="F112" s="95">
        <f t="shared" si="2"/>
        <v>0.25</v>
      </c>
      <c r="G112" s="556" t="str">
        <f t="shared" si="3"/>
        <v>mg /mL</v>
      </c>
      <c r="H112" s="553">
        <v>0</v>
      </c>
      <c r="I112" s="557">
        <v>0.75</v>
      </c>
      <c r="J112" s="555" t="str">
        <f t="shared" si="75"/>
        <v>mg</v>
      </c>
      <c r="K112" s="553" t="s">
        <v>15</v>
      </c>
      <c r="L112" s="191">
        <v>2.5000000000000001E-2</v>
      </c>
      <c r="M112" s="109" t="str">
        <f t="shared" si="76"/>
        <v/>
      </c>
      <c r="N112" s="558"/>
      <c r="O112" s="395" t="str">
        <f t="shared" si="6"/>
        <v>mg/kg</v>
      </c>
      <c r="P112" s="95">
        <f t="shared" si="77"/>
        <v>0.09</v>
      </c>
      <c r="Q112" s="109" t="str">
        <f t="shared" si="8"/>
        <v/>
      </c>
      <c r="R112" s="558"/>
      <c r="S112" s="559" t="str">
        <f t="shared" si="78"/>
        <v>mg</v>
      </c>
      <c r="T112" s="19">
        <v>2</v>
      </c>
      <c r="U112" s="95">
        <f t="shared" si="79"/>
        <v>0.4</v>
      </c>
      <c r="V112" s="109"/>
      <c r="W112" s="558"/>
      <c r="X112" s="558" t="str">
        <f t="shared" si="80"/>
        <v>mL</v>
      </c>
      <c r="Y112" s="557">
        <v>1</v>
      </c>
      <c r="Z112" s="560"/>
      <c r="AA112" s="582" t="str">
        <f>IF($F$2="Yes",IF(OR(ISTEXT($L$2),$L$2&lt;2),"Not recommended at this age","Dilute 1 mL vial to 10 mL N/S"&amp;CHAR(10)&amp;" DOSE: "&amp;U112&amp;" mL of dilution"),"Both age &amp; weight required")</f>
        <v>Both age &amp; weight required</v>
      </c>
      <c r="AB112" s="561"/>
      <c r="AC112" s="583">
        <f>IF($F$2="Yes",IF(OR(ISTEXT($L$2),$L$2&lt;2),0,"0.025 mg/kg = "&amp;P112&amp;" mg"),0)</f>
        <v>0</v>
      </c>
      <c r="AD112" s="584">
        <f>IF($F$2="Yes",IF(OR(ISTEXT($L$2),$L$2&lt;2),0,IF(Admin!$X$61="On","max = 0.75 mg",0)),0)</f>
        <v>0</v>
      </c>
      <c r="AE112" s="562" t="str">
        <f t="shared" si="74"/>
        <v>No</v>
      </c>
      <c r="AF112" s="563"/>
      <c r="AG112" s="564" t="s">
        <v>733</v>
      </c>
    </row>
    <row r="113" spans="2:33" s="55" customFormat="1" ht="25" customHeight="1" x14ac:dyDescent="0.2">
      <c r="B113" s="190" t="s">
        <v>752</v>
      </c>
      <c r="C113" s="553">
        <v>4</v>
      </c>
      <c r="D113" s="554" t="s">
        <v>7</v>
      </c>
      <c r="E113" s="555">
        <v>1</v>
      </c>
      <c r="F113" s="95">
        <f t="shared" si="2"/>
        <v>4</v>
      </c>
      <c r="G113" s="556" t="str">
        <f t="shared" si="3"/>
        <v>mg /mL</v>
      </c>
      <c r="H113" s="553">
        <v>0</v>
      </c>
      <c r="I113" s="557">
        <v>8</v>
      </c>
      <c r="J113" s="555" t="str">
        <f t="shared" si="75"/>
        <v>mg</v>
      </c>
      <c r="K113" s="553" t="s">
        <v>15</v>
      </c>
      <c r="L113" s="191">
        <v>0.15</v>
      </c>
      <c r="M113" s="109" t="str">
        <f t="shared" si="76"/>
        <v/>
      </c>
      <c r="N113" s="558"/>
      <c r="O113" s="395" t="str">
        <f t="shared" si="6"/>
        <v>mg/kg</v>
      </c>
      <c r="P113" s="95">
        <f t="shared" si="77"/>
        <v>0.53</v>
      </c>
      <c r="Q113" s="109" t="str">
        <f t="shared" si="8"/>
        <v/>
      </c>
      <c r="R113" s="558"/>
      <c r="S113" s="559" t="str">
        <f t="shared" si="78"/>
        <v>mg</v>
      </c>
      <c r="T113" s="19">
        <v>2</v>
      </c>
      <c r="U113" s="95">
        <f t="shared" si="79"/>
        <v>0.13</v>
      </c>
      <c r="V113" s="109"/>
      <c r="W113" s="558"/>
      <c r="X113" s="558" t="str">
        <f t="shared" si="80"/>
        <v>mL</v>
      </c>
      <c r="Y113" s="557">
        <v>2</v>
      </c>
      <c r="Z113" s="560"/>
      <c r="AA113" s="561" t="str">
        <f t="shared" si="13"/>
        <v>0.13 mL</v>
      </c>
      <c r="AB113" s="561" t="s">
        <v>753</v>
      </c>
      <c r="AC113" s="109" t="str">
        <f>"0.15 mg/kg = "&amp;P113&amp;" mg"</f>
        <v>0.15 mg/kg = 0.53 mg</v>
      </c>
      <c r="AD113" s="557" t="str">
        <f>IFERROR(IF(Admin!$X$61="On","max = 8 mg",0),0)</f>
        <v>max = 8 mg</v>
      </c>
      <c r="AE113" s="562" t="str">
        <f t="shared" si="74"/>
        <v>No</v>
      </c>
      <c r="AF113" s="563"/>
      <c r="AG113" s="564" t="s">
        <v>733</v>
      </c>
    </row>
    <row r="114" spans="2:33" s="55" customFormat="1" ht="25" customHeight="1" x14ac:dyDescent="0.2">
      <c r="B114" s="190"/>
      <c r="C114" s="553"/>
      <c r="D114" s="554"/>
      <c r="E114" s="555"/>
      <c r="F114" s="95" t="str">
        <f t="shared" si="2"/>
        <v/>
      </c>
      <c r="G114" s="556" t="str">
        <f t="shared" si="3"/>
        <v/>
      </c>
      <c r="H114" s="553"/>
      <c r="I114" s="557"/>
      <c r="J114" s="555" t="str">
        <f t="shared" si="75"/>
        <v/>
      </c>
      <c r="K114" s="553"/>
      <c r="L114" s="191"/>
      <c r="M114" s="109" t="str">
        <f t="shared" si="76"/>
        <v/>
      </c>
      <c r="N114" s="558"/>
      <c r="O114" s="395" t="str">
        <f t="shared" si="6"/>
        <v/>
      </c>
      <c r="P114" s="95" t="str">
        <f t="shared" si="77"/>
        <v/>
      </c>
      <c r="Q114" s="109" t="str">
        <f t="shared" si="8"/>
        <v/>
      </c>
      <c r="R114" s="558"/>
      <c r="S114" s="559" t="str">
        <f t="shared" si="78"/>
        <v/>
      </c>
      <c r="T114" s="19"/>
      <c r="U114" s="95" t="str">
        <f t="shared" si="79"/>
        <v/>
      </c>
      <c r="V114" s="109"/>
      <c r="W114" s="558"/>
      <c r="X114" s="558" t="str">
        <f t="shared" si="80"/>
        <v/>
      </c>
      <c r="Y114" s="557"/>
      <c r="Z114" s="560"/>
      <c r="AA114" s="561" t="str">
        <f t="shared" si="13"/>
        <v/>
      </c>
      <c r="AB114" s="561"/>
      <c r="AC114" s="109"/>
      <c r="AD114" s="557"/>
      <c r="AE114" s="562" t="str">
        <f t="shared" si="74"/>
        <v/>
      </c>
      <c r="AF114" s="563"/>
      <c r="AG114" s="564"/>
    </row>
    <row r="115" spans="2:33" s="55" customFormat="1" ht="25" customHeight="1" x14ac:dyDescent="0.2">
      <c r="B115" s="190"/>
      <c r="C115" s="553"/>
      <c r="D115" s="554"/>
      <c r="E115" s="555"/>
      <c r="F115" s="95" t="str">
        <f t="shared" si="2"/>
        <v/>
      </c>
      <c r="G115" s="556" t="str">
        <f t="shared" si="3"/>
        <v/>
      </c>
      <c r="H115" s="553"/>
      <c r="I115" s="557"/>
      <c r="J115" s="555" t="str">
        <f t="shared" si="75"/>
        <v/>
      </c>
      <c r="K115" s="553"/>
      <c r="L115" s="191"/>
      <c r="M115" s="109" t="str">
        <f t="shared" si="76"/>
        <v/>
      </c>
      <c r="N115" s="558"/>
      <c r="O115" s="395" t="str">
        <f t="shared" si="6"/>
        <v/>
      </c>
      <c r="P115" s="95" t="str">
        <f t="shared" si="77"/>
        <v/>
      </c>
      <c r="Q115" s="109" t="str">
        <f t="shared" si="8"/>
        <v/>
      </c>
      <c r="R115" s="558"/>
      <c r="S115" s="559" t="str">
        <f t="shared" si="78"/>
        <v/>
      </c>
      <c r="T115" s="19"/>
      <c r="U115" s="95" t="str">
        <f t="shared" si="79"/>
        <v/>
      </c>
      <c r="V115" s="109"/>
      <c r="W115" s="558"/>
      <c r="X115" s="558" t="str">
        <f t="shared" si="80"/>
        <v/>
      </c>
      <c r="Y115" s="557"/>
      <c r="Z115" s="560"/>
      <c r="AA115" s="561" t="str">
        <f t="shared" si="13"/>
        <v/>
      </c>
      <c r="AB115" s="561"/>
      <c r="AC115" s="109"/>
      <c r="AD115" s="557"/>
      <c r="AE115" s="562" t="str">
        <f t="shared" si="74"/>
        <v/>
      </c>
      <c r="AF115" s="563"/>
      <c r="AG115" s="564"/>
    </row>
    <row r="116" spans="2:33" s="55" customFormat="1" ht="25" customHeight="1" x14ac:dyDescent="0.2">
      <c r="B116" s="190"/>
      <c r="C116" s="553"/>
      <c r="D116" s="554"/>
      <c r="E116" s="555"/>
      <c r="F116" s="95" t="str">
        <f t="shared" si="2"/>
        <v/>
      </c>
      <c r="G116" s="556" t="str">
        <f t="shared" si="3"/>
        <v/>
      </c>
      <c r="H116" s="553"/>
      <c r="I116" s="557"/>
      <c r="J116" s="555" t="str">
        <f t="shared" si="75"/>
        <v/>
      </c>
      <c r="K116" s="553"/>
      <c r="L116" s="191"/>
      <c r="M116" s="109" t="str">
        <f t="shared" si="76"/>
        <v/>
      </c>
      <c r="N116" s="558"/>
      <c r="O116" s="395" t="str">
        <f t="shared" si="6"/>
        <v/>
      </c>
      <c r="P116" s="95" t="str">
        <f t="shared" si="77"/>
        <v/>
      </c>
      <c r="Q116" s="109" t="str">
        <f t="shared" si="8"/>
        <v/>
      </c>
      <c r="R116" s="558"/>
      <c r="S116" s="559" t="str">
        <f t="shared" si="78"/>
        <v/>
      </c>
      <c r="T116" s="19"/>
      <c r="U116" s="95" t="str">
        <f t="shared" si="79"/>
        <v/>
      </c>
      <c r="V116" s="109"/>
      <c r="W116" s="558"/>
      <c r="X116" s="558" t="str">
        <f t="shared" si="80"/>
        <v/>
      </c>
      <c r="Y116" s="557"/>
      <c r="Z116" s="560"/>
      <c r="AA116" s="561" t="str">
        <f t="shared" si="13"/>
        <v/>
      </c>
      <c r="AB116" s="561"/>
      <c r="AC116" s="109"/>
      <c r="AD116" s="557"/>
      <c r="AE116" s="562" t="str">
        <f t="shared" si="74"/>
        <v/>
      </c>
      <c r="AF116" s="563"/>
      <c r="AG116" s="564"/>
    </row>
    <row r="117" spans="2:33" s="55" customFormat="1" ht="25" customHeight="1" x14ac:dyDescent="0.2">
      <c r="B117" s="190"/>
      <c r="C117" s="553"/>
      <c r="D117" s="554"/>
      <c r="E117" s="555"/>
      <c r="F117" s="95" t="str">
        <f t="shared" si="2"/>
        <v/>
      </c>
      <c r="G117" s="556" t="str">
        <f t="shared" si="3"/>
        <v/>
      </c>
      <c r="H117" s="553"/>
      <c r="I117" s="557"/>
      <c r="J117" s="555" t="str">
        <f t="shared" si="75"/>
        <v/>
      </c>
      <c r="K117" s="553"/>
      <c r="L117" s="191"/>
      <c r="M117" s="109" t="str">
        <f t="shared" si="76"/>
        <v/>
      </c>
      <c r="N117" s="558"/>
      <c r="O117" s="395" t="str">
        <f t="shared" si="6"/>
        <v/>
      </c>
      <c r="P117" s="95" t="str">
        <f t="shared" si="77"/>
        <v/>
      </c>
      <c r="Q117" s="109" t="str">
        <f t="shared" si="8"/>
        <v/>
      </c>
      <c r="R117" s="558"/>
      <c r="S117" s="559" t="str">
        <f t="shared" si="78"/>
        <v/>
      </c>
      <c r="T117" s="19"/>
      <c r="U117" s="95" t="str">
        <f t="shared" si="79"/>
        <v/>
      </c>
      <c r="V117" s="109"/>
      <c r="W117" s="558"/>
      <c r="X117" s="558" t="str">
        <f t="shared" si="80"/>
        <v/>
      </c>
      <c r="Y117" s="557"/>
      <c r="Z117" s="560"/>
      <c r="AA117" s="561" t="str">
        <f t="shared" si="13"/>
        <v/>
      </c>
      <c r="AB117" s="561"/>
      <c r="AC117" s="109"/>
      <c r="AD117" s="557"/>
      <c r="AE117" s="562" t="str">
        <f t="shared" si="74"/>
        <v/>
      </c>
      <c r="AF117" s="563"/>
      <c r="AG117" s="564"/>
    </row>
    <row r="118" spans="2:33" s="55" customFormat="1" ht="25" customHeight="1" x14ac:dyDescent="0.2">
      <c r="B118" s="190"/>
      <c r="C118" s="553"/>
      <c r="D118" s="554"/>
      <c r="E118" s="555"/>
      <c r="F118" s="95" t="str">
        <f t="shared" si="2"/>
        <v/>
      </c>
      <c r="G118" s="556" t="str">
        <f t="shared" si="3"/>
        <v/>
      </c>
      <c r="H118" s="553"/>
      <c r="I118" s="557"/>
      <c r="J118" s="555" t="str">
        <f t="shared" si="75"/>
        <v/>
      </c>
      <c r="K118" s="553"/>
      <c r="L118" s="191"/>
      <c r="M118" s="109" t="str">
        <f t="shared" si="76"/>
        <v/>
      </c>
      <c r="N118" s="558"/>
      <c r="O118" s="395" t="str">
        <f t="shared" si="6"/>
        <v/>
      </c>
      <c r="P118" s="95" t="str">
        <f t="shared" si="77"/>
        <v/>
      </c>
      <c r="Q118" s="109" t="str">
        <f t="shared" si="8"/>
        <v/>
      </c>
      <c r="R118" s="558"/>
      <c r="S118" s="559" t="str">
        <f t="shared" si="78"/>
        <v/>
      </c>
      <c r="T118" s="19"/>
      <c r="U118" s="95" t="str">
        <f t="shared" si="79"/>
        <v/>
      </c>
      <c r="V118" s="109"/>
      <c r="W118" s="558"/>
      <c r="X118" s="558" t="str">
        <f t="shared" si="80"/>
        <v/>
      </c>
      <c r="Y118" s="557"/>
      <c r="Z118" s="560"/>
      <c r="AA118" s="561" t="str">
        <f t="shared" si="13"/>
        <v/>
      </c>
      <c r="AB118" s="561"/>
      <c r="AC118" s="109"/>
      <c r="AD118" s="557"/>
      <c r="AE118" s="562" t="str">
        <f t="shared" si="74"/>
        <v/>
      </c>
      <c r="AF118" s="563"/>
      <c r="AG118" s="564"/>
    </row>
    <row r="119" spans="2:33" s="55" customFormat="1" ht="25" customHeight="1" x14ac:dyDescent="0.2">
      <c r="B119" s="190"/>
      <c r="C119" s="553"/>
      <c r="D119" s="554"/>
      <c r="E119" s="555"/>
      <c r="F119" s="95" t="str">
        <f t="shared" si="2"/>
        <v/>
      </c>
      <c r="G119" s="556" t="str">
        <f t="shared" si="3"/>
        <v/>
      </c>
      <c r="H119" s="553"/>
      <c r="I119" s="557"/>
      <c r="J119" s="555" t="str">
        <f t="shared" si="75"/>
        <v/>
      </c>
      <c r="K119" s="553"/>
      <c r="L119" s="191"/>
      <c r="M119" s="109" t="str">
        <f t="shared" si="76"/>
        <v/>
      </c>
      <c r="N119" s="558"/>
      <c r="O119" s="395" t="str">
        <f t="shared" si="6"/>
        <v/>
      </c>
      <c r="P119" s="95" t="str">
        <f t="shared" si="77"/>
        <v/>
      </c>
      <c r="Q119" s="109" t="str">
        <f t="shared" si="8"/>
        <v/>
      </c>
      <c r="R119" s="558"/>
      <c r="S119" s="559" t="str">
        <f t="shared" si="78"/>
        <v/>
      </c>
      <c r="T119" s="19"/>
      <c r="U119" s="95" t="str">
        <f t="shared" si="79"/>
        <v/>
      </c>
      <c r="V119" s="109"/>
      <c r="W119" s="558"/>
      <c r="X119" s="558" t="str">
        <f t="shared" si="80"/>
        <v/>
      </c>
      <c r="Y119" s="557"/>
      <c r="Z119" s="560"/>
      <c r="AA119" s="561" t="str">
        <f t="shared" si="13"/>
        <v/>
      </c>
      <c r="AB119" s="561"/>
      <c r="AC119" s="109"/>
      <c r="AD119" s="557"/>
      <c r="AE119" s="562" t="str">
        <f t="shared" si="74"/>
        <v/>
      </c>
      <c r="AF119" s="563"/>
      <c r="AG119" s="564"/>
    </row>
    <row r="120" spans="2:33" s="55" customFormat="1" ht="25" customHeight="1" x14ac:dyDescent="0.2">
      <c r="B120" s="190"/>
      <c r="C120" s="553"/>
      <c r="D120" s="554"/>
      <c r="E120" s="555"/>
      <c r="F120" s="95" t="str">
        <f t="shared" si="2"/>
        <v/>
      </c>
      <c r="G120" s="556" t="str">
        <f t="shared" si="3"/>
        <v/>
      </c>
      <c r="H120" s="553"/>
      <c r="I120" s="557"/>
      <c r="J120" s="555" t="str">
        <f t="shared" si="75"/>
        <v/>
      </c>
      <c r="K120" s="553"/>
      <c r="L120" s="191"/>
      <c r="M120" s="109" t="str">
        <f t="shared" si="76"/>
        <v/>
      </c>
      <c r="N120" s="558"/>
      <c r="O120" s="395" t="str">
        <f t="shared" si="6"/>
        <v/>
      </c>
      <c r="P120" s="95" t="str">
        <f t="shared" si="77"/>
        <v/>
      </c>
      <c r="Q120" s="109" t="str">
        <f t="shared" si="8"/>
        <v/>
      </c>
      <c r="R120" s="558"/>
      <c r="S120" s="559" t="str">
        <f t="shared" si="78"/>
        <v/>
      </c>
      <c r="T120" s="19"/>
      <c r="U120" s="95" t="str">
        <f t="shared" si="79"/>
        <v/>
      </c>
      <c r="V120" s="109"/>
      <c r="W120" s="558"/>
      <c r="X120" s="558" t="str">
        <f t="shared" si="80"/>
        <v/>
      </c>
      <c r="Y120" s="557"/>
      <c r="Z120" s="560"/>
      <c r="AA120" s="561" t="str">
        <f t="shared" si="13"/>
        <v/>
      </c>
      <c r="AB120" s="561"/>
      <c r="AC120" s="109"/>
      <c r="AD120" s="557"/>
      <c r="AE120" s="562" t="str">
        <f t="shared" si="74"/>
        <v/>
      </c>
      <c r="AF120" s="563"/>
      <c r="AG120" s="564"/>
    </row>
    <row r="121" spans="2:33" s="55" customFormat="1" ht="25" customHeight="1" x14ac:dyDescent="0.2">
      <c r="B121" s="190"/>
      <c r="C121" s="553"/>
      <c r="D121" s="554"/>
      <c r="E121" s="555"/>
      <c r="F121" s="95" t="str">
        <f t="shared" si="2"/>
        <v/>
      </c>
      <c r="G121" s="556" t="str">
        <f t="shared" si="3"/>
        <v/>
      </c>
      <c r="H121" s="553"/>
      <c r="I121" s="557"/>
      <c r="J121" s="555" t="str">
        <f t="shared" si="75"/>
        <v/>
      </c>
      <c r="K121" s="553"/>
      <c r="L121" s="191"/>
      <c r="M121" s="109" t="str">
        <f t="shared" si="76"/>
        <v/>
      </c>
      <c r="N121" s="558"/>
      <c r="O121" s="395" t="str">
        <f t="shared" si="6"/>
        <v/>
      </c>
      <c r="P121" s="95" t="str">
        <f t="shared" si="77"/>
        <v/>
      </c>
      <c r="Q121" s="109" t="str">
        <f t="shared" si="8"/>
        <v/>
      </c>
      <c r="R121" s="558"/>
      <c r="S121" s="559" t="str">
        <f t="shared" si="78"/>
        <v/>
      </c>
      <c r="T121" s="19"/>
      <c r="U121" s="95" t="str">
        <f t="shared" si="79"/>
        <v/>
      </c>
      <c r="V121" s="109"/>
      <c r="W121" s="558"/>
      <c r="X121" s="558" t="str">
        <f t="shared" si="80"/>
        <v/>
      </c>
      <c r="Y121" s="557"/>
      <c r="Z121" s="560"/>
      <c r="AA121" s="561" t="str">
        <f t="shared" si="13"/>
        <v/>
      </c>
      <c r="AB121" s="561"/>
      <c r="AC121" s="109"/>
      <c r="AD121" s="557"/>
      <c r="AE121" s="562" t="str">
        <f t="shared" si="74"/>
        <v/>
      </c>
      <c r="AF121" s="563"/>
      <c r="AG121" s="564"/>
    </row>
    <row r="122" spans="2:33" s="55" customFormat="1" ht="25" customHeight="1" x14ac:dyDescent="0.2">
      <c r="B122" s="190"/>
      <c r="C122" s="553"/>
      <c r="D122" s="554"/>
      <c r="E122" s="555"/>
      <c r="F122" s="95" t="str">
        <f t="shared" si="2"/>
        <v/>
      </c>
      <c r="G122" s="556" t="str">
        <f t="shared" si="3"/>
        <v/>
      </c>
      <c r="H122" s="553"/>
      <c r="I122" s="557"/>
      <c r="J122" s="555" t="str">
        <f t="shared" si="75"/>
        <v/>
      </c>
      <c r="K122" s="553"/>
      <c r="L122" s="191"/>
      <c r="M122" s="109" t="str">
        <f t="shared" si="76"/>
        <v/>
      </c>
      <c r="N122" s="558"/>
      <c r="O122" s="395" t="str">
        <f t="shared" si="6"/>
        <v/>
      </c>
      <c r="P122" s="95" t="str">
        <f t="shared" si="77"/>
        <v/>
      </c>
      <c r="Q122" s="109" t="str">
        <f t="shared" si="8"/>
        <v/>
      </c>
      <c r="R122" s="558"/>
      <c r="S122" s="559" t="str">
        <f t="shared" si="78"/>
        <v/>
      </c>
      <c r="T122" s="19"/>
      <c r="U122" s="95" t="str">
        <f t="shared" si="79"/>
        <v/>
      </c>
      <c r="V122" s="109"/>
      <c r="W122" s="558"/>
      <c r="X122" s="558" t="str">
        <f t="shared" si="80"/>
        <v/>
      </c>
      <c r="Y122" s="557"/>
      <c r="Z122" s="560"/>
      <c r="AA122" s="561" t="str">
        <f t="shared" si="13"/>
        <v/>
      </c>
      <c r="AB122" s="561"/>
      <c r="AC122" s="109"/>
      <c r="AD122" s="557"/>
      <c r="AE122" s="562" t="str">
        <f t="shared" si="74"/>
        <v/>
      </c>
      <c r="AF122" s="563"/>
      <c r="AG122" s="564"/>
    </row>
    <row r="123" spans="2:33" s="55" customFormat="1" ht="25" customHeight="1" x14ac:dyDescent="0.2">
      <c r="B123" s="190"/>
      <c r="C123" s="553"/>
      <c r="D123" s="554"/>
      <c r="E123" s="555"/>
      <c r="F123" s="95" t="str">
        <f t="shared" si="2"/>
        <v/>
      </c>
      <c r="G123" s="556" t="str">
        <f t="shared" si="3"/>
        <v/>
      </c>
      <c r="H123" s="553"/>
      <c r="I123" s="557"/>
      <c r="J123" s="555" t="str">
        <f t="shared" si="75"/>
        <v/>
      </c>
      <c r="K123" s="553"/>
      <c r="L123" s="191"/>
      <c r="M123" s="109" t="str">
        <f t="shared" si="76"/>
        <v/>
      </c>
      <c r="N123" s="558"/>
      <c r="O123" s="395" t="str">
        <f t="shared" si="6"/>
        <v/>
      </c>
      <c r="P123" s="95" t="str">
        <f t="shared" si="77"/>
        <v/>
      </c>
      <c r="Q123" s="109" t="str">
        <f t="shared" si="8"/>
        <v/>
      </c>
      <c r="R123" s="558"/>
      <c r="S123" s="559" t="str">
        <f t="shared" si="78"/>
        <v/>
      </c>
      <c r="T123" s="19"/>
      <c r="U123" s="95" t="str">
        <f t="shared" si="79"/>
        <v/>
      </c>
      <c r="V123" s="109"/>
      <c r="W123" s="558"/>
      <c r="X123" s="558" t="str">
        <f t="shared" si="80"/>
        <v/>
      </c>
      <c r="Y123" s="557"/>
      <c r="Z123" s="560"/>
      <c r="AA123" s="561" t="str">
        <f t="shared" si="13"/>
        <v/>
      </c>
      <c r="AB123" s="561"/>
      <c r="AC123" s="109"/>
      <c r="AD123" s="557"/>
      <c r="AE123" s="562" t="str">
        <f t="shared" si="74"/>
        <v/>
      </c>
      <c r="AF123" s="563"/>
      <c r="AG123" s="564"/>
    </row>
    <row r="124" spans="2:33" s="55" customFormat="1" ht="25" customHeight="1" x14ac:dyDescent="0.2">
      <c r="B124" s="190"/>
      <c r="C124" s="553"/>
      <c r="D124" s="554"/>
      <c r="E124" s="555"/>
      <c r="F124" s="95" t="str">
        <f t="shared" si="2"/>
        <v/>
      </c>
      <c r="G124" s="556" t="str">
        <f t="shared" si="3"/>
        <v/>
      </c>
      <c r="H124" s="553"/>
      <c r="I124" s="557"/>
      <c r="J124" s="555" t="str">
        <f t="shared" si="75"/>
        <v/>
      </c>
      <c r="K124" s="553"/>
      <c r="L124" s="191"/>
      <c r="M124" s="109" t="str">
        <f t="shared" si="76"/>
        <v/>
      </c>
      <c r="N124" s="558"/>
      <c r="O124" s="395" t="str">
        <f t="shared" si="6"/>
        <v/>
      </c>
      <c r="P124" s="95" t="str">
        <f t="shared" si="77"/>
        <v/>
      </c>
      <c r="Q124" s="109" t="str">
        <f t="shared" si="8"/>
        <v/>
      </c>
      <c r="R124" s="558"/>
      <c r="S124" s="559" t="str">
        <f t="shared" si="78"/>
        <v/>
      </c>
      <c r="T124" s="19"/>
      <c r="U124" s="95" t="str">
        <f t="shared" si="79"/>
        <v/>
      </c>
      <c r="V124" s="109"/>
      <c r="W124" s="558"/>
      <c r="X124" s="558" t="str">
        <f t="shared" si="80"/>
        <v/>
      </c>
      <c r="Y124" s="557"/>
      <c r="Z124" s="560"/>
      <c r="AA124" s="561" t="str">
        <f t="shared" si="13"/>
        <v/>
      </c>
      <c r="AB124" s="561"/>
      <c r="AC124" s="109"/>
      <c r="AD124" s="557"/>
      <c r="AE124" s="562" t="str">
        <f t="shared" si="74"/>
        <v/>
      </c>
      <c r="AF124" s="563"/>
      <c r="AG124" s="564"/>
    </row>
    <row r="125" spans="2:33" s="55" customFormat="1" ht="25" customHeight="1" x14ac:dyDescent="0.2">
      <c r="B125" s="190"/>
      <c r="C125" s="553"/>
      <c r="D125" s="554"/>
      <c r="E125" s="555"/>
      <c r="F125" s="95" t="str">
        <f t="shared" si="2"/>
        <v/>
      </c>
      <c r="G125" s="556" t="str">
        <f t="shared" si="3"/>
        <v/>
      </c>
      <c r="H125" s="553"/>
      <c r="I125" s="557"/>
      <c r="J125" s="555" t="str">
        <f t="shared" si="75"/>
        <v/>
      </c>
      <c r="K125" s="553"/>
      <c r="L125" s="191"/>
      <c r="M125" s="109" t="str">
        <f t="shared" si="76"/>
        <v/>
      </c>
      <c r="N125" s="558"/>
      <c r="O125" s="395" t="str">
        <f t="shared" si="6"/>
        <v/>
      </c>
      <c r="P125" s="95" t="str">
        <f t="shared" si="77"/>
        <v/>
      </c>
      <c r="Q125" s="109" t="str">
        <f t="shared" si="8"/>
        <v/>
      </c>
      <c r="R125" s="558"/>
      <c r="S125" s="559" t="str">
        <f t="shared" si="78"/>
        <v/>
      </c>
      <c r="T125" s="19"/>
      <c r="U125" s="95" t="str">
        <f t="shared" si="79"/>
        <v/>
      </c>
      <c r="V125" s="109"/>
      <c r="W125" s="558"/>
      <c r="X125" s="558" t="str">
        <f t="shared" si="80"/>
        <v/>
      </c>
      <c r="Y125" s="557"/>
      <c r="Z125" s="560"/>
      <c r="AA125" s="561" t="str">
        <f t="shared" si="13"/>
        <v/>
      </c>
      <c r="AB125" s="561"/>
      <c r="AC125" s="109"/>
      <c r="AD125" s="557"/>
      <c r="AE125" s="562" t="str">
        <f t="shared" si="74"/>
        <v/>
      </c>
      <c r="AF125" s="563"/>
      <c r="AG125" s="564"/>
    </row>
    <row r="126" spans="2:33" s="55" customFormat="1" ht="25" customHeight="1" x14ac:dyDescent="0.2">
      <c r="B126" s="190"/>
      <c r="C126" s="553"/>
      <c r="D126" s="554"/>
      <c r="E126" s="555"/>
      <c r="F126" s="95" t="str">
        <f t="shared" si="2"/>
        <v/>
      </c>
      <c r="G126" s="556" t="str">
        <f t="shared" si="3"/>
        <v/>
      </c>
      <c r="H126" s="553"/>
      <c r="I126" s="557"/>
      <c r="J126" s="555" t="str">
        <f t="shared" si="75"/>
        <v/>
      </c>
      <c r="K126" s="553"/>
      <c r="L126" s="191"/>
      <c r="M126" s="109" t="str">
        <f t="shared" si="76"/>
        <v/>
      </c>
      <c r="N126" s="558"/>
      <c r="O126" s="395" t="str">
        <f t="shared" si="6"/>
        <v/>
      </c>
      <c r="P126" s="95" t="str">
        <f t="shared" si="77"/>
        <v/>
      </c>
      <c r="Q126" s="109" t="str">
        <f t="shared" si="8"/>
        <v/>
      </c>
      <c r="R126" s="558"/>
      <c r="S126" s="559" t="str">
        <f t="shared" si="78"/>
        <v/>
      </c>
      <c r="T126" s="19"/>
      <c r="U126" s="95" t="str">
        <f t="shared" si="79"/>
        <v/>
      </c>
      <c r="V126" s="109"/>
      <c r="W126" s="558"/>
      <c r="X126" s="558" t="str">
        <f t="shared" si="80"/>
        <v/>
      </c>
      <c r="Y126" s="557"/>
      <c r="Z126" s="560"/>
      <c r="AA126" s="561" t="str">
        <f t="shared" si="13"/>
        <v/>
      </c>
      <c r="AB126" s="561"/>
      <c r="AC126" s="109"/>
      <c r="AD126" s="557"/>
      <c r="AE126" s="562" t="str">
        <f t="shared" si="74"/>
        <v/>
      </c>
      <c r="AF126" s="563"/>
      <c r="AG126" s="564"/>
    </row>
    <row r="127" spans="2:33" s="55" customFormat="1" ht="25" customHeight="1" x14ac:dyDescent="0.2">
      <c r="B127" s="190"/>
      <c r="C127" s="553"/>
      <c r="D127" s="554"/>
      <c r="E127" s="555"/>
      <c r="F127" s="95" t="str">
        <f t="shared" si="2"/>
        <v/>
      </c>
      <c r="G127" s="556" t="str">
        <f t="shared" si="3"/>
        <v/>
      </c>
      <c r="H127" s="553"/>
      <c r="I127" s="557"/>
      <c r="J127" s="555" t="str">
        <f t="shared" si="75"/>
        <v/>
      </c>
      <c r="K127" s="553"/>
      <c r="L127" s="191"/>
      <c r="M127" s="109" t="str">
        <f t="shared" si="76"/>
        <v/>
      </c>
      <c r="N127" s="558"/>
      <c r="O127" s="395" t="str">
        <f t="shared" si="6"/>
        <v/>
      </c>
      <c r="P127" s="95" t="str">
        <f t="shared" si="77"/>
        <v/>
      </c>
      <c r="Q127" s="109" t="str">
        <f t="shared" si="8"/>
        <v/>
      </c>
      <c r="R127" s="558"/>
      <c r="S127" s="559" t="str">
        <f t="shared" si="78"/>
        <v/>
      </c>
      <c r="T127" s="19"/>
      <c r="U127" s="95" t="str">
        <f t="shared" si="79"/>
        <v/>
      </c>
      <c r="V127" s="109"/>
      <c r="W127" s="558"/>
      <c r="X127" s="558" t="str">
        <f t="shared" si="80"/>
        <v/>
      </c>
      <c r="Y127" s="557"/>
      <c r="Z127" s="560"/>
      <c r="AA127" s="561" t="str">
        <f t="shared" si="13"/>
        <v/>
      </c>
      <c r="AB127" s="561"/>
      <c r="AC127" s="109"/>
      <c r="AD127" s="557"/>
      <c r="AE127" s="562" t="str">
        <f t="shared" si="74"/>
        <v/>
      </c>
      <c r="AF127" s="563"/>
      <c r="AG127" s="564"/>
    </row>
    <row r="128" spans="2:33" s="55" customFormat="1" ht="25" customHeight="1" x14ac:dyDescent="0.2">
      <c r="B128" s="190"/>
      <c r="C128" s="553"/>
      <c r="D128" s="554"/>
      <c r="E128" s="555"/>
      <c r="F128" s="95" t="str">
        <f t="shared" si="2"/>
        <v/>
      </c>
      <c r="G128" s="556" t="str">
        <f t="shared" si="3"/>
        <v/>
      </c>
      <c r="H128" s="553"/>
      <c r="I128" s="557"/>
      <c r="J128" s="555" t="str">
        <f t="shared" si="75"/>
        <v/>
      </c>
      <c r="K128" s="553"/>
      <c r="L128" s="191"/>
      <c r="M128" s="109" t="str">
        <f t="shared" si="76"/>
        <v/>
      </c>
      <c r="N128" s="558"/>
      <c r="O128" s="395" t="str">
        <f t="shared" si="6"/>
        <v/>
      </c>
      <c r="P128" s="95" t="str">
        <f t="shared" si="77"/>
        <v/>
      </c>
      <c r="Q128" s="109" t="str">
        <f t="shared" si="8"/>
        <v/>
      </c>
      <c r="R128" s="558"/>
      <c r="S128" s="559" t="str">
        <f t="shared" si="78"/>
        <v/>
      </c>
      <c r="T128" s="19"/>
      <c r="U128" s="95" t="str">
        <f t="shared" si="79"/>
        <v/>
      </c>
      <c r="V128" s="109"/>
      <c r="W128" s="558"/>
      <c r="X128" s="558" t="str">
        <f t="shared" si="80"/>
        <v/>
      </c>
      <c r="Y128" s="557"/>
      <c r="Z128" s="560"/>
      <c r="AA128" s="561" t="str">
        <f t="shared" si="13"/>
        <v/>
      </c>
      <c r="AB128" s="561"/>
      <c r="AC128" s="109"/>
      <c r="AD128" s="557"/>
      <c r="AE128" s="562" t="str">
        <f t="shared" si="74"/>
        <v/>
      </c>
      <c r="AF128" s="563"/>
      <c r="AG128" s="564"/>
    </row>
    <row r="129" spans="2:33" s="358" customFormat="1" ht="25" customHeight="1" thickBot="1" x14ac:dyDescent="0.25">
      <c r="B129" s="192"/>
      <c r="C129" s="565"/>
      <c r="D129" s="566"/>
      <c r="E129" s="567"/>
      <c r="F129" s="26" t="str">
        <f t="shared" si="2"/>
        <v/>
      </c>
      <c r="G129" s="568" t="str">
        <f t="shared" si="3"/>
        <v/>
      </c>
      <c r="H129" s="565"/>
      <c r="I129" s="569"/>
      <c r="J129" s="567" t="str">
        <f t="shared" si="75"/>
        <v/>
      </c>
      <c r="K129" s="565"/>
      <c r="L129" s="193"/>
      <c r="M129" s="110" t="str">
        <f t="shared" si="76"/>
        <v/>
      </c>
      <c r="N129" s="570"/>
      <c r="O129" s="398" t="str">
        <f t="shared" si="6"/>
        <v/>
      </c>
      <c r="P129" s="26" t="str">
        <f t="shared" si="77"/>
        <v/>
      </c>
      <c r="Q129" s="110" t="str">
        <f t="shared" si="8"/>
        <v/>
      </c>
      <c r="R129" s="570"/>
      <c r="S129" s="571" t="str">
        <f t="shared" si="78"/>
        <v/>
      </c>
      <c r="T129" s="23"/>
      <c r="U129" s="26" t="str">
        <f t="shared" si="79"/>
        <v/>
      </c>
      <c r="V129" s="110"/>
      <c r="W129" s="570"/>
      <c r="X129" s="570" t="str">
        <f t="shared" si="80"/>
        <v/>
      </c>
      <c r="Y129" s="569"/>
      <c r="Z129" s="572"/>
      <c r="AA129" s="573" t="str">
        <f t="shared" si="13"/>
        <v/>
      </c>
      <c r="AB129" s="573"/>
      <c r="AC129" s="110"/>
      <c r="AD129" s="569"/>
      <c r="AE129" s="574" t="str">
        <f t="shared" si="74"/>
        <v/>
      </c>
      <c r="AF129" s="575"/>
      <c r="AG129" s="576"/>
    </row>
    <row r="130" spans="2:33" ht="20" customHeight="1" thickBot="1" x14ac:dyDescent="0.25">
      <c r="AC130" s="56"/>
      <c r="AD130" s="56"/>
      <c r="AE130" s="56"/>
      <c r="AF130" s="56"/>
    </row>
    <row r="131" spans="2:33" s="55" customFormat="1" ht="50" customHeight="1" thickBot="1" x14ac:dyDescent="0.25">
      <c r="B131" s="310" t="s">
        <v>449</v>
      </c>
      <c r="C131" s="900" t="s">
        <v>98</v>
      </c>
      <c r="D131" s="901"/>
      <c r="E131" s="902"/>
      <c r="F131" s="900" t="s">
        <v>90</v>
      </c>
      <c r="G131" s="902"/>
      <c r="H131" s="903" t="s">
        <v>84</v>
      </c>
      <c r="I131" s="904"/>
      <c r="J131" s="905"/>
      <c r="K131" s="906" t="s">
        <v>99</v>
      </c>
      <c r="L131" s="883"/>
      <c r="M131" s="883"/>
      <c r="N131" s="883"/>
      <c r="O131" s="884"/>
      <c r="P131" s="879"/>
      <c r="Q131" s="880"/>
      <c r="R131" s="880"/>
      <c r="S131" s="880"/>
      <c r="T131" s="881"/>
      <c r="U131" s="882" t="s">
        <v>91</v>
      </c>
      <c r="V131" s="883"/>
      <c r="W131" s="883"/>
      <c r="X131" s="883"/>
      <c r="Y131" s="884"/>
      <c r="Z131" s="888" t="s">
        <v>104</v>
      </c>
      <c r="AA131" s="889"/>
      <c r="AB131" s="889"/>
      <c r="AC131" s="889"/>
      <c r="AD131" s="890"/>
      <c r="AE131" s="107"/>
      <c r="AF131" s="107"/>
      <c r="AG131" s="245" t="str">
        <f>"// All data within the infusino table is drawn from infusions worksheet. No calculations occur in situ. Uses VLOOKUP of the drugs named-array (InfDrug) for 'Yes'. Where 'Yes' corresponds to the correct age row for the child"</f>
        <v>// All data within the infusino table is drawn from infusions worksheet. No calculations occur in situ. Uses VLOOKUP of the drugs named-array (InfDrug) for 'Yes'. Where 'Yes' corresponds to the correct age row for the child</v>
      </c>
    </row>
    <row r="132" spans="2:33" s="55" customFormat="1" ht="40" customHeight="1" thickBot="1" x14ac:dyDescent="0.25">
      <c r="B132" s="75"/>
      <c r="C132" s="45" t="s">
        <v>1</v>
      </c>
      <c r="D132" s="46" t="s">
        <v>6</v>
      </c>
      <c r="E132" s="47" t="s">
        <v>83</v>
      </c>
      <c r="F132" s="48" t="s">
        <v>89</v>
      </c>
      <c r="G132" s="49" t="s">
        <v>6</v>
      </c>
      <c r="H132" s="50" t="s">
        <v>3</v>
      </c>
      <c r="I132" s="51" t="s">
        <v>12</v>
      </c>
      <c r="J132" s="52" t="s">
        <v>6</v>
      </c>
      <c r="K132" s="53" t="s">
        <v>13</v>
      </c>
      <c r="L132" s="76"/>
      <c r="M132" s="76"/>
      <c r="N132" s="76"/>
      <c r="O132" s="77"/>
      <c r="P132" s="78"/>
      <c r="Q132" s="76"/>
      <c r="R132" s="76"/>
      <c r="S132" s="76"/>
      <c r="T132" s="79"/>
      <c r="U132" s="885" t="s">
        <v>92</v>
      </c>
      <c r="V132" s="886"/>
      <c r="W132" s="886"/>
      <c r="X132" s="887"/>
      <c r="Y132" s="80"/>
      <c r="Z132" s="81"/>
      <c r="AA132" s="57" t="s">
        <v>78</v>
      </c>
      <c r="AB132" s="58" t="s">
        <v>100</v>
      </c>
      <c r="AC132" s="58" t="s">
        <v>101</v>
      </c>
      <c r="AD132" s="58" t="s">
        <v>102</v>
      </c>
      <c r="AE132" s="59"/>
      <c r="AF132" s="59"/>
      <c r="AG132" s="82"/>
    </row>
    <row r="133" spans="2:33" s="55" customFormat="1" ht="25" customHeight="1" x14ac:dyDescent="0.2">
      <c r="B133" s="359" t="s">
        <v>754</v>
      </c>
      <c r="C133" s="236">
        <f>VLOOKUP("Yes",InfAdrenalineLow,2,FALSE)</f>
        <v>0.5</v>
      </c>
      <c r="D133" s="360" t="str">
        <f>VLOOKUP("Yes",InfAdrenalineLow,3,FALSE)</f>
        <v>mg</v>
      </c>
      <c r="E133" s="303">
        <f>VLOOKUP("Yes",InfAdrenalineLow,4,FALSE)</f>
        <v>50</v>
      </c>
      <c r="F133" s="236">
        <f>VLOOKUP("Yes",InfAdrenalineLow,5,FALSE)</f>
        <v>0.05</v>
      </c>
      <c r="G133" s="303" t="str">
        <f>VLOOKUP("Yes",InfAdrenalineLow,6,FALSE)</f>
        <v>micrograms/kg/min</v>
      </c>
      <c r="H133" s="236"/>
      <c r="I133" s="360"/>
      <c r="J133" s="303"/>
      <c r="K133" s="236"/>
      <c r="L133" s="101">
        <f>VLOOKUP("Yes",InfAdrenalineLow,7,FALSE)</f>
        <v>0.01</v>
      </c>
      <c r="M133" s="108" t="str">
        <f>VLOOKUP("Yes",InfAdrenalineLow,8,FALSE)</f>
        <v>to</v>
      </c>
      <c r="N133" s="108">
        <f>VLOOKUP("Yes",InfAdrenalineLow,9,FALSE)</f>
        <v>1</v>
      </c>
      <c r="O133" s="234" t="str">
        <f>VLOOKUP("Yes",InfAdrenalineLow,10,FALSE)</f>
        <v>micrograms/kg/min</v>
      </c>
      <c r="P133" s="361"/>
      <c r="Q133" s="108"/>
      <c r="R133" s="108"/>
      <c r="S133" s="100"/>
      <c r="T133" s="360"/>
      <c r="U133" s="108">
        <f>VLOOKUP("Yes",InfAdrenalineLow,11,FALSE)</f>
        <v>0.2</v>
      </c>
      <c r="V133" s="108" t="str">
        <f>VLOOKUP("Yes",InfAdrenalineLow,12,FALSE)</f>
        <v>to</v>
      </c>
      <c r="W133" s="108">
        <f>VLOOKUP("Yes",InfAdrenalineLow,13,FALSE)</f>
        <v>20</v>
      </c>
      <c r="X133" s="108" t="str">
        <f>VLOOKUP("Yes",InfAdrenalineLow,14,FALSE)</f>
        <v>mL/hr</v>
      </c>
      <c r="Y133" s="303"/>
      <c r="Z133" s="362"/>
      <c r="AA133" s="362" t="str">
        <f>VLOOKUP("Yes",InfAdrenalineLow,17,FALSE)</f>
        <v>0.2 - 20 mL/hr</v>
      </c>
      <c r="AB133" s="362" t="str">
        <f>VLOOKUP("Yes",InfAdrenalineLow,18,FALSE)</f>
        <v>0.5 mg diluted to 50 mL</v>
      </c>
      <c r="AC133" s="15" t="str">
        <f>VLOOKUP("Yes",InfAdrenalineLow,19,FALSE)</f>
        <v>1ml/hr = 0.05 micrograms/kg/min</v>
      </c>
      <c r="AD133" s="15" t="str">
        <f>VLOOKUP("Yes",InfAdrenalineLow,20,FALSE)</f>
        <v>@0.01 - 1 micrograms/kg/min</v>
      </c>
      <c r="AE133" s="16"/>
      <c r="AF133" s="17"/>
      <c r="AG133" s="363"/>
    </row>
    <row r="134" spans="2:33" s="55" customFormat="1" ht="25" customHeight="1" x14ac:dyDescent="0.2">
      <c r="B134" s="359" t="s">
        <v>755</v>
      </c>
      <c r="C134" s="362">
        <f>VLOOKUP("Yes",InfAdrenalineHigh,2,FALSE)</f>
        <v>1.1000000000000001</v>
      </c>
      <c r="D134" s="364" t="str">
        <f>VLOOKUP("Yes",InfAdrenalineHigh,3,FALSE)</f>
        <v>mg</v>
      </c>
      <c r="E134" s="365">
        <f>VLOOKUP("Yes",InfAdrenalineHigh,4,FALSE)</f>
        <v>50</v>
      </c>
      <c r="F134" s="237">
        <f>VLOOKUP("Yes",InfAdrenalineHigh,5,FALSE)</f>
        <v>0.1</v>
      </c>
      <c r="G134" s="17" t="str">
        <f>VLOOKUP("Yes",InfAdrenalineHigh,6,FALSE)</f>
        <v>micrograms/kg/min</v>
      </c>
      <c r="H134" s="366"/>
      <c r="I134" s="367"/>
      <c r="J134" s="368"/>
      <c r="K134" s="237"/>
      <c r="L134" s="228">
        <f>VLOOKUP("Yes",InfAdrenalineHigh,7,FALSE)</f>
        <v>0.01</v>
      </c>
      <c r="M134" s="228" t="str">
        <f>VLOOKUP("Yes",InfAdrenalineHigh,8,FALSE)</f>
        <v>to</v>
      </c>
      <c r="N134" s="228">
        <f>VLOOKUP("Yes",InfAdrenalineHigh,9,FALSE)</f>
        <v>1</v>
      </c>
      <c r="O134" s="17" t="str">
        <f>VLOOKUP("Yes",InfAdrenalineHigh,10,FALSE)</f>
        <v>micrograms/kg/min</v>
      </c>
      <c r="P134" s="359"/>
      <c r="Q134" s="369"/>
      <c r="R134" s="369"/>
      <c r="S134" s="369"/>
      <c r="T134" s="367"/>
      <c r="U134" s="228">
        <f>VLOOKUP("Yes",InfAdrenalineHigh,11,FALSE)</f>
        <v>0.1</v>
      </c>
      <c r="V134" s="228" t="str">
        <f>VLOOKUP("Yes",InfAdrenalineHigh,12,FALSE)</f>
        <v>to</v>
      </c>
      <c r="W134" s="228">
        <f>VLOOKUP("Yes",InfAdrenalineHigh,13,FALSE)</f>
        <v>10</v>
      </c>
      <c r="X134" s="228" t="str">
        <f>VLOOKUP("Yes",InfAdrenalineHigh,14,FALSE)</f>
        <v>mL/hr</v>
      </c>
      <c r="Y134" s="365"/>
      <c r="Z134" s="359"/>
      <c r="AA134" s="15" t="str">
        <f>VLOOKUP("Yes",InfAdrenalineHigh,17,FALSE)</f>
        <v>0.1 - 10 mL/hr</v>
      </c>
      <c r="AB134" s="18" t="str">
        <f>VLOOKUP("Yes",InfAdrenalineHigh,18,FALSE)</f>
        <v>1.1 mg diluted to 50 mL</v>
      </c>
      <c r="AC134" s="15" t="str">
        <f>VLOOKUP("Yes",InfAdrenalineHigh,19,FALSE)</f>
        <v>1ml/hr = 0.1 micrograms/kg/min</v>
      </c>
      <c r="AD134" s="15" t="str">
        <f>VLOOKUP("Yes",InfAdrenalineHigh,20,FALSE)</f>
        <v>@0.01 - 1 micrograms/kg/min</v>
      </c>
      <c r="AE134" s="17"/>
      <c r="AF134" s="17"/>
      <c r="AG134" s="363"/>
    </row>
    <row r="135" spans="2:33" s="55" customFormat="1" ht="25" customHeight="1" x14ac:dyDescent="0.2">
      <c r="B135" s="359" t="s">
        <v>246</v>
      </c>
      <c r="C135" s="362">
        <f>VLOOKUP("Yes",InfMetaraminol,2,FALSE)</f>
        <v>0.5</v>
      </c>
      <c r="D135" s="364" t="str">
        <f>VLOOKUP("Yes",InfMetaraminol,3,FALSE)</f>
        <v>mg</v>
      </c>
      <c r="E135" s="365">
        <f>VLOOKUP("Yes",InfMetaraminol,4,FALSE)</f>
        <v>50</v>
      </c>
      <c r="F135" s="237">
        <f>VLOOKUP("Yes",InfMetaraminol,5,FALSE)</f>
        <v>0.05</v>
      </c>
      <c r="G135" s="17" t="str">
        <f>VLOOKUP("Yes",InfMetaraminol,6,FALSE)</f>
        <v>micrograms/kg/min</v>
      </c>
      <c r="H135" s="366"/>
      <c r="I135" s="367"/>
      <c r="J135" s="368"/>
      <c r="K135" s="237"/>
      <c r="L135" s="228">
        <f>VLOOKUP("Yes",InfMetaraminol,7,FALSE)</f>
        <v>0.05</v>
      </c>
      <c r="M135" s="228" t="str">
        <f>VLOOKUP("Yes",InfMetaraminol,8,FALSE)</f>
        <v>to</v>
      </c>
      <c r="N135" s="228">
        <f>VLOOKUP("Yes",InfMetaraminol,9,FALSE)</f>
        <v>0.5</v>
      </c>
      <c r="O135" s="17" t="str">
        <f>VLOOKUP("Yes",InfMetaraminol,10,FALSE)</f>
        <v>micrograms/kg/min</v>
      </c>
      <c r="P135" s="359"/>
      <c r="Q135" s="369"/>
      <c r="R135" s="369"/>
      <c r="S135" s="369"/>
      <c r="T135" s="367"/>
      <c r="U135" s="228">
        <f>VLOOKUP("Yes",InfMetaraminol,11,FALSE)</f>
        <v>1</v>
      </c>
      <c r="V135" s="228" t="str">
        <f>VLOOKUP("Yes",InfMetaraminol,12,FALSE)</f>
        <v>to</v>
      </c>
      <c r="W135" s="228">
        <f>VLOOKUP("Yes",InfMetaraminol,13,FALSE)</f>
        <v>10</v>
      </c>
      <c r="X135" s="228" t="str">
        <f>VLOOKUP("Yes",InfMetaraminol,14,FALSE)</f>
        <v>mL/hr</v>
      </c>
      <c r="Y135" s="365"/>
      <c r="Z135" s="359"/>
      <c r="AA135" s="685" t="str">
        <f>VLOOKUP("Yes",InfMetaraminol,17,FALSE)</f>
        <v>1 - 10 mL/hr</v>
      </c>
      <c r="AB135" s="686" t="str">
        <f>VLOOKUP("Yes",InfMetaraminol,18,FALSE)</f>
        <v>0.5 mg diluted to 50 mL</v>
      </c>
      <c r="AC135" s="685" t="str">
        <f>VLOOKUP("Yes",InfMetaraminol,19,FALSE)</f>
        <v>1ml/hr = 0.05 micrograms/kg/min</v>
      </c>
      <c r="AD135" s="685" t="str">
        <f>VLOOKUP("Yes",InfMetaraminol,20,FALSE)</f>
        <v>@0.05 - 0.5 micrograms/kg/min</v>
      </c>
      <c r="AE135" s="17"/>
      <c r="AF135" s="17"/>
      <c r="AG135" s="363"/>
    </row>
    <row r="136" spans="2:33" s="55" customFormat="1" ht="25" customHeight="1" x14ac:dyDescent="0.2">
      <c r="B136" s="370" t="s">
        <v>254</v>
      </c>
      <c r="C136" s="371">
        <f>VLOOKUP("Yes",InfMilrinone,2,FALSE)</f>
        <v>2.6</v>
      </c>
      <c r="D136" s="102" t="str">
        <f>VLOOKUP("Yes",InfMilrinone,3,FALSE)</f>
        <v>mg</v>
      </c>
      <c r="E136" s="208">
        <f>VLOOKUP("Yes",InfMilrinone,4,FALSE)</f>
        <v>50</v>
      </c>
      <c r="F136" s="20">
        <f>VLOOKUP("Yes",InfMilrinone,5,FALSE)</f>
        <v>0.25</v>
      </c>
      <c r="G136" s="19" t="str">
        <f>VLOOKUP("Yes",InfMilrinone,6,FALSE)</f>
        <v>micrograms/kg/min</v>
      </c>
      <c r="H136" s="372"/>
      <c r="I136" s="268"/>
      <c r="J136" s="373"/>
      <c r="K136" s="20"/>
      <c r="L136" s="109">
        <f>VLOOKUP("Yes",InfMilrinone,7,FALSE)</f>
        <v>0.25</v>
      </c>
      <c r="M136" s="109" t="str">
        <f>VLOOKUP("Yes",InfMilrinone,8,FALSE)</f>
        <v>to</v>
      </c>
      <c r="N136" s="109">
        <f>VLOOKUP("Yes",InfMilrinone,9,FALSE)</f>
        <v>0.75</v>
      </c>
      <c r="O136" s="19" t="str">
        <f>VLOOKUP("Yes",InfMilrinone,10,FALSE)</f>
        <v>micrograms/kg/min</v>
      </c>
      <c r="P136" s="370"/>
      <c r="Q136" s="191"/>
      <c r="R136" s="191"/>
      <c r="S136" s="191"/>
      <c r="T136" s="268"/>
      <c r="U136" s="109">
        <f>VLOOKUP("Yes",InfMilrinone,11,FALSE)</f>
        <v>1</v>
      </c>
      <c r="V136" s="109" t="str">
        <f>VLOOKUP("Yes",InfMilrinone,12,FALSE)</f>
        <v>to</v>
      </c>
      <c r="W136" s="109">
        <f>VLOOKUP("Yes",InfMilrinone,13,FALSE)</f>
        <v>3</v>
      </c>
      <c r="X136" s="109" t="str">
        <f>VLOOKUP("Yes",InfMilrinone,14,FALSE)</f>
        <v>mL/hr</v>
      </c>
      <c r="Y136" s="208"/>
      <c r="Z136" s="370"/>
      <c r="AA136" s="18" t="str">
        <f>VLOOKUP("Yes",InfMilrinone,17,FALSE)</f>
        <v>1 - 3 mL/hr</v>
      </c>
      <c r="AB136" s="18" t="str">
        <f>VLOOKUP("Yes",InfMilrinone,18,FALSE)</f>
        <v>2.6 mg diluted to 50 mL</v>
      </c>
      <c r="AC136" s="18" t="str">
        <f>VLOOKUP("Yes",InfMilrinone,19,FALSE)</f>
        <v>1ml/hr = 0.25 micrograms/kg/min</v>
      </c>
      <c r="AD136" s="18" t="str">
        <f>VLOOKUP("Yes",InfMilrinone,20,FALSE)</f>
        <v>@0.25 - 0.75 micrograms/kg/min</v>
      </c>
      <c r="AE136" s="19"/>
      <c r="AF136" s="19"/>
      <c r="AG136" s="190"/>
    </row>
    <row r="137" spans="2:33" s="55" customFormat="1" ht="25" customHeight="1" x14ac:dyDescent="0.2">
      <c r="B137" s="370" t="s">
        <v>255</v>
      </c>
      <c r="C137" s="371">
        <f>VLOOKUP("Yes",InfDopamine,2,FALSE)</f>
        <v>52.5</v>
      </c>
      <c r="D137" s="102" t="str">
        <f>VLOOKUP("Yes",InfDopamine,3,FALSE)</f>
        <v>mg</v>
      </c>
      <c r="E137" s="208">
        <f>VLOOKUP("Yes",InfDopamine,4,FALSE)</f>
        <v>50</v>
      </c>
      <c r="F137" s="20">
        <f>VLOOKUP("Yes",InfDopamine,5,FALSE)</f>
        <v>5</v>
      </c>
      <c r="G137" s="19" t="str">
        <f>VLOOKUP("Yes",InfDopamine,6,FALSE)</f>
        <v>micrograms/kg/min</v>
      </c>
      <c r="H137" s="372"/>
      <c r="I137" s="268"/>
      <c r="J137" s="373"/>
      <c r="K137" s="20"/>
      <c r="L137" s="109">
        <f>VLOOKUP("Yes",InfDopamine,7,FALSE)</f>
        <v>2.5</v>
      </c>
      <c r="M137" s="109" t="str">
        <f>VLOOKUP("Yes",InfDopamine,8,FALSE)</f>
        <v>to</v>
      </c>
      <c r="N137" s="109">
        <f>VLOOKUP("Yes",InfDopamine,9,FALSE)</f>
        <v>10</v>
      </c>
      <c r="O137" s="19" t="str">
        <f>VLOOKUP("Yes",InfDopamine,10,FALSE)</f>
        <v>micrograms/kg/min</v>
      </c>
      <c r="P137" s="370"/>
      <c r="Q137" s="191"/>
      <c r="R137" s="191"/>
      <c r="S137" s="191"/>
      <c r="T137" s="268"/>
      <c r="U137" s="109">
        <f>VLOOKUP("Yes",InfDopamine,11,FALSE)</f>
        <v>0.5</v>
      </c>
      <c r="V137" s="109" t="str">
        <f>VLOOKUP("Yes",InfDopamine,12,FALSE)</f>
        <v>to</v>
      </c>
      <c r="W137" s="109">
        <f>VLOOKUP("Yes",InfDopamine,13,FALSE)</f>
        <v>2</v>
      </c>
      <c r="X137" s="109" t="str">
        <f>VLOOKUP("Yes",InfDopamine,14,FALSE)</f>
        <v>mL/hr</v>
      </c>
      <c r="Y137" s="208"/>
      <c r="Z137" s="370"/>
      <c r="AA137" s="15" t="str">
        <f>VLOOKUP("Yes",InfDopamine,17,FALSE)</f>
        <v>0.5 - 2 mL/hr</v>
      </c>
      <c r="AB137" s="18" t="str">
        <f>VLOOKUP("Yes",InfDopamine,18,FALSE)</f>
        <v>52.5 mg diluted to 50 mL</v>
      </c>
      <c r="AC137" s="18" t="str">
        <f>VLOOKUP("Yes",InfDopamine,19,FALSE)</f>
        <v>1ml/hr = 5 micrograms/kg/min</v>
      </c>
      <c r="AD137" s="15" t="str">
        <f>VLOOKUP("Yes",InfDopamine,20,FALSE)</f>
        <v>@2.5 - 10 micrograms/kg/min</v>
      </c>
      <c r="AE137" s="17"/>
      <c r="AF137" s="17"/>
      <c r="AG137" s="190"/>
    </row>
    <row r="138" spans="2:33" s="55" customFormat="1" ht="25" customHeight="1" x14ac:dyDescent="0.2">
      <c r="B138" s="370" t="s">
        <v>247</v>
      </c>
      <c r="C138" s="371">
        <f>VLOOKUP("Yes",InfVasopressin,2,FALSE)</f>
        <v>3.5</v>
      </c>
      <c r="D138" s="102" t="str">
        <f>VLOOKUP("Yes",InfVasopressin,3,FALSE)</f>
        <v>units</v>
      </c>
      <c r="E138" s="208">
        <f>VLOOKUP("Yes",InfVasopressin,4,FALSE)</f>
        <v>50</v>
      </c>
      <c r="F138" s="20">
        <f>VLOOKUP("Yes",InfVasopressin,5,FALSE)</f>
        <v>0.02</v>
      </c>
      <c r="G138" s="19" t="str">
        <f>VLOOKUP("Yes",InfVasopressin,6,FALSE)</f>
        <v>units/kg/hour</v>
      </c>
      <c r="H138" s="372"/>
      <c r="I138" s="268"/>
      <c r="J138" s="373"/>
      <c r="K138" s="20"/>
      <c r="L138" s="109">
        <f>VLOOKUP("Yes",InfVasopressin,7,FALSE)</f>
        <v>0.02</v>
      </c>
      <c r="M138" s="109" t="str">
        <f>VLOOKUP("Yes",InfVasopressin,8,FALSE)</f>
        <v>to</v>
      </c>
      <c r="N138" s="109">
        <f>VLOOKUP("Yes",InfVasopressin,9,FALSE)</f>
        <v>0.06</v>
      </c>
      <c r="O138" s="19" t="str">
        <f>VLOOKUP("Yes",InfVasopressin,10,FALSE)</f>
        <v>units/kg/hour</v>
      </c>
      <c r="P138" s="370"/>
      <c r="Q138" s="191"/>
      <c r="R138" s="191"/>
      <c r="S138" s="191"/>
      <c r="T138" s="268"/>
      <c r="U138" s="109">
        <f>VLOOKUP("Yes",InfVasopressin,11,FALSE)</f>
        <v>1</v>
      </c>
      <c r="V138" s="109" t="str">
        <f>VLOOKUP("Yes",InfVasopressin,12,FALSE)</f>
        <v>to</v>
      </c>
      <c r="W138" s="109">
        <f>VLOOKUP("Yes",InfVasopressin,13,FALSE)</f>
        <v>3</v>
      </c>
      <c r="X138" s="109" t="str">
        <f>VLOOKUP("Yes",InfVasopressin,14,FALSE)</f>
        <v>mL/hr</v>
      </c>
      <c r="Y138" s="208"/>
      <c r="Z138" s="370"/>
      <c r="AA138" s="18" t="str">
        <f>VLOOKUP("Yes",InfVasopressin,17,FALSE)</f>
        <v>1 - 3 mL/hr</v>
      </c>
      <c r="AB138" s="18" t="str">
        <f>VLOOKUP("Yes",InfVasopressin,18,FALSE)</f>
        <v>3.5 units diluted to 50 mL</v>
      </c>
      <c r="AC138" s="18" t="str">
        <f>VLOOKUP("Yes",InfVasopressin,19,FALSE)</f>
        <v>1ml/hr = 0.02 units/kg/hour</v>
      </c>
      <c r="AD138" s="18" t="str">
        <f>VLOOKUP("Yes",InfVasopressin,20,FALSE)</f>
        <v>@0.02 - 0.06 units/kg/HOUR</v>
      </c>
      <c r="AE138" s="19"/>
      <c r="AF138" s="19"/>
      <c r="AG138" s="190"/>
    </row>
    <row r="139" spans="2:33" s="55" customFormat="1" ht="25" customHeight="1" x14ac:dyDescent="0.2">
      <c r="B139" s="370" t="s">
        <v>561</v>
      </c>
      <c r="C139" s="371">
        <f>Infusions!E84</f>
        <v>4.4000000000000004</v>
      </c>
      <c r="D139" s="102" t="str">
        <f>Infusions!F84</f>
        <v>mmol</v>
      </c>
      <c r="E139" s="208">
        <f>Infusions!G84</f>
        <v>20</v>
      </c>
      <c r="F139" s="20">
        <f>Infusions!H84</f>
        <v>0.22</v>
      </c>
      <c r="G139" s="19" t="str">
        <f>Infusions!I84</f>
        <v>mmol/hour</v>
      </c>
      <c r="H139" s="372"/>
      <c r="I139" s="268"/>
      <c r="J139" s="373"/>
      <c r="K139" s="20"/>
      <c r="L139" s="109">
        <f>Infusions!J84</f>
        <v>0.11</v>
      </c>
      <c r="M139" s="109" t="str">
        <f>Infusions!K84</f>
        <v>to</v>
      </c>
      <c r="N139" s="109">
        <f>Infusions!L84</f>
        <v>0.22</v>
      </c>
      <c r="O139" s="19" t="str">
        <f>Infusions!M84</f>
        <v>mmol/hour</v>
      </c>
      <c r="P139" s="370"/>
      <c r="Q139" s="191"/>
      <c r="R139" s="191"/>
      <c r="S139" s="191"/>
      <c r="T139" s="268"/>
      <c r="U139" s="109">
        <f>Infusions!N84</f>
        <v>0.5</v>
      </c>
      <c r="V139" s="109" t="str">
        <f>Infusions!O84</f>
        <v>to</v>
      </c>
      <c r="W139" s="109">
        <f>Infusions!P84</f>
        <v>1</v>
      </c>
      <c r="X139" s="109" t="str">
        <f>Infusions!Q84</f>
        <v>mL/hr</v>
      </c>
      <c r="Y139" s="208"/>
      <c r="Z139" s="370"/>
      <c r="AA139" s="18" t="str">
        <f>Infusions!T84</f>
        <v>0.5 - 1 mL/hr as inotrope</v>
      </c>
      <c r="AB139" s="18" t="str">
        <f>Infusions!U84</f>
        <v>[central line] 4.4 mmol NEAT, total 20 mL</v>
      </c>
      <c r="AC139" s="18" t="str">
        <f>Infusions!V84</f>
        <v>1ml/hr = 0.22 mmol/hour</v>
      </c>
      <c r="AD139" s="18" t="str">
        <f>Infusions!W84</f>
        <v>@0.11 - 0.22 mmol/HOUR</v>
      </c>
      <c r="AE139" s="19"/>
      <c r="AF139" s="19"/>
      <c r="AG139" s="190"/>
    </row>
    <row r="140" spans="2:33" s="55" customFormat="1" ht="25" customHeight="1" x14ac:dyDescent="0.2">
      <c r="B140" s="370" t="s">
        <v>284</v>
      </c>
      <c r="C140" s="20">
        <f>IFERROR(VLOOKUP("Yes",InfProstaglandin,2,FALSE),"")</f>
        <v>105</v>
      </c>
      <c r="D140" s="102" t="str">
        <f>IFERROR(VLOOKUP("Yes",InfProstaglandin,3,FALSE),"")</f>
        <v>micrograms</v>
      </c>
      <c r="E140" s="208">
        <f>IFERROR(VLOOKUP("Yes",InfProstaglandin,4,FALSE),"")</f>
        <v>50</v>
      </c>
      <c r="F140" s="20">
        <f>IFERROR(VLOOKUP("Yes",InfProstaglandin,5,FALSE),"")</f>
        <v>10</v>
      </c>
      <c r="G140" s="208" t="str">
        <f>IFERROR(VLOOKUP("Yes",InfProstaglandin,6,FALSE),"")</f>
        <v>nanograms/kg/min</v>
      </c>
      <c r="H140" s="372"/>
      <c r="I140" s="268"/>
      <c r="J140" s="373"/>
      <c r="K140" s="20"/>
      <c r="L140" s="109">
        <f>IFERROR(VLOOKUP("Yes",InfProstaglandin,7,FALSE),"")</f>
        <v>5</v>
      </c>
      <c r="M140" s="109" t="str">
        <f>IFERROR(VLOOKUP("Yes",InfProstaglandin,8,FALSE),"")</f>
        <v>to</v>
      </c>
      <c r="N140" s="109">
        <f>IFERROR(VLOOKUP("Yes",InfProstaglandin,9,FALSE),"")</f>
        <v>50</v>
      </c>
      <c r="O140" s="19" t="str">
        <f>IFERROR(VLOOKUP("Yes",InfProstaglandin,10,FALSE),"")</f>
        <v>nanograms/kg/min</v>
      </c>
      <c r="P140" s="370"/>
      <c r="Q140" s="191"/>
      <c r="R140" s="191"/>
      <c r="S140" s="191"/>
      <c r="T140" s="268"/>
      <c r="U140" s="109">
        <f>IFERROR(VLOOKUP("Yes",InfProstaglandin,11,FALSE),"")</f>
        <v>0.5</v>
      </c>
      <c r="V140" s="109" t="str">
        <f>IFERROR(VLOOKUP("Yes",InfProstaglandin,12,FALSE),"")</f>
        <v>to</v>
      </c>
      <c r="W140" s="109">
        <f>IFERROR(VLOOKUP("Yes",InfProstaglandin,13,FALSE),"")</f>
        <v>5</v>
      </c>
      <c r="X140" s="109" t="str">
        <f>IFERROR(VLOOKUP("Yes",InfProstaglandin,14,FALSE),"")</f>
        <v>mL/hr</v>
      </c>
      <c r="Y140" s="208"/>
      <c r="Z140" s="370"/>
      <c r="AA140" s="403" t="str">
        <f>IF(OR(ISTEXT(L2),L2&lt;=0.3),VLOOKUP("Yes",InfProstaglandin,17,FALSE),"Not recommended at this age")</f>
        <v>0.5 - 5 mL/hr</v>
      </c>
      <c r="AB140" s="403" t="str">
        <f>IF(OR(ISTEXT(L2),L2&lt;=0.3),VLOOKUP("Yes",InfProstaglandin,18,FALSE),0)</f>
        <v>105 micrograms diluted to 50 mL</v>
      </c>
      <c r="AC140" s="403" t="str">
        <f>IF(OR(ISTEXT(L2),L2&lt;=0.3),VLOOKUP("Yes",InfProstaglandin,19,FALSE),0)</f>
        <v>1ml/hr = 10 nanograms/kg/min</v>
      </c>
      <c r="AD140" s="403" t="str">
        <f>IF(OR(ISTEXT(L2),L2&lt;=0.3),VLOOKUP("Yes",InfProstaglandin,20,FALSE),0)</f>
        <v>@5 - 50 NANOgrams/kg/min</v>
      </c>
      <c r="AE140" s="19"/>
      <c r="AF140" s="19"/>
      <c r="AG140" s="190"/>
    </row>
    <row r="141" spans="2:33" s="55" customFormat="1" ht="25" customHeight="1" x14ac:dyDescent="0.2">
      <c r="B141" s="370" t="s">
        <v>448</v>
      </c>
      <c r="C141" s="371">
        <f>VLOOKUP("Yes",InfGTNSNP,2,FALSE)</f>
        <v>10.5</v>
      </c>
      <c r="D141" s="102" t="str">
        <f>VLOOKUP("Yes",InfGTNSNP,3,FALSE)</f>
        <v>mg</v>
      </c>
      <c r="E141" s="208">
        <f>VLOOKUP("Yes",InfGTNSNP,4,FALSE)</f>
        <v>50</v>
      </c>
      <c r="F141" s="20">
        <f>VLOOKUP("Yes",InfGTNSNP,5,FALSE)</f>
        <v>1</v>
      </c>
      <c r="G141" s="19" t="str">
        <f>VLOOKUP("Yes",InfGTNSNP,6,FALSE)</f>
        <v>micrograms/kg/min</v>
      </c>
      <c r="H141" s="372"/>
      <c r="I141" s="268"/>
      <c r="J141" s="373"/>
      <c r="K141" s="20"/>
      <c r="L141" s="109">
        <f>VLOOKUP("Yes",InfGTNSNP,7,FALSE)</f>
        <v>0.5</v>
      </c>
      <c r="M141" s="109" t="str">
        <f>VLOOKUP("Yes",InfGTNSNP,8,FALSE)</f>
        <v>to</v>
      </c>
      <c r="N141" s="109">
        <f>VLOOKUP("Yes",InfGTNSNP,9,FALSE)</f>
        <v>5</v>
      </c>
      <c r="O141" s="19" t="str">
        <f>VLOOKUP("Yes",InfGTNSNP,10,FALSE)</f>
        <v>micrograms/kg/min</v>
      </c>
      <c r="P141" s="370"/>
      <c r="Q141" s="191"/>
      <c r="R141" s="191"/>
      <c r="S141" s="191"/>
      <c r="T141" s="268"/>
      <c r="U141" s="109">
        <f>VLOOKUP("Yes",InfGTNSNP,11,FALSE)</f>
        <v>0.5</v>
      </c>
      <c r="V141" s="109" t="str">
        <f>VLOOKUP("Yes",InfGTNSNP,12,FALSE)</f>
        <v>to</v>
      </c>
      <c r="W141" s="109">
        <f>VLOOKUP("Yes",InfGTNSNP,13,FALSE)</f>
        <v>5</v>
      </c>
      <c r="X141" s="109" t="str">
        <f>VLOOKUP("Yes",InfGTNSNP,14,FALSE)</f>
        <v>mL/hr</v>
      </c>
      <c r="Y141" s="208"/>
      <c r="Z141" s="370"/>
      <c r="AA141" s="18" t="str">
        <f>VLOOKUP("Yes",InfGTNSNP,17,FALSE)</f>
        <v>0.5 - 5 mL/hr</v>
      </c>
      <c r="AB141" s="18" t="str">
        <f>VLOOKUP("Yes",InfGTNSNP,18,FALSE)</f>
        <v>10.5 mg diluted to 50 mL</v>
      </c>
      <c r="AC141" s="18" t="str">
        <f>VLOOKUP("Yes",InfGTNSNP,19,FALSE)</f>
        <v>1ml/hr = 1 micrograms/kg/min</v>
      </c>
      <c r="AD141" s="18" t="str">
        <f>VLOOKUP("Yes",InfGTNSNP,20,FALSE)</f>
        <v>@0.5 - 5 micrograms/kg/min</v>
      </c>
      <c r="AE141" s="19"/>
      <c r="AF141" s="19"/>
      <c r="AG141" s="190"/>
    </row>
    <row r="142" spans="2:33" s="55" customFormat="1" ht="25" customHeight="1" x14ac:dyDescent="0.2">
      <c r="B142" s="370"/>
      <c r="C142" s="371"/>
      <c r="D142" s="102"/>
      <c r="E142" s="208"/>
      <c r="F142" s="20"/>
      <c r="G142" s="19"/>
      <c r="H142" s="372"/>
      <c r="I142" s="268"/>
      <c r="J142" s="373"/>
      <c r="K142" s="20"/>
      <c r="L142" s="109"/>
      <c r="M142" s="109"/>
      <c r="N142" s="109"/>
      <c r="O142" s="19"/>
      <c r="P142" s="370"/>
      <c r="Q142" s="191"/>
      <c r="R142" s="191"/>
      <c r="S142" s="191"/>
      <c r="T142" s="268"/>
      <c r="U142" s="109"/>
      <c r="V142" s="109"/>
      <c r="W142" s="109"/>
      <c r="X142" s="109"/>
      <c r="Y142" s="208"/>
      <c r="Z142" s="370"/>
      <c r="AA142" s="18"/>
      <c r="AB142" s="18"/>
      <c r="AC142" s="18"/>
      <c r="AD142" s="18"/>
      <c r="AE142" s="19"/>
      <c r="AF142" s="19"/>
      <c r="AG142" s="190"/>
    </row>
    <row r="143" spans="2:33" s="55" customFormat="1" ht="25" customHeight="1" x14ac:dyDescent="0.2">
      <c r="B143" s="370" t="s">
        <v>242</v>
      </c>
      <c r="C143" s="371">
        <f>VLOOKUP("Yes",InfMorphine,2,FALSE)</f>
        <v>3.5</v>
      </c>
      <c r="D143" s="102" t="str">
        <f>VLOOKUP("Yes",InfMorphine,3,FALSE)</f>
        <v>mg</v>
      </c>
      <c r="E143" s="208">
        <f>VLOOKUP("Yes",InfMorphine,4,FALSE)</f>
        <v>50</v>
      </c>
      <c r="F143" s="20">
        <f>VLOOKUP("Yes",InfMorphine,5,FALSE)</f>
        <v>20</v>
      </c>
      <c r="G143" s="19" t="str">
        <f>VLOOKUP("Yes",InfMorphine,6,FALSE)</f>
        <v>micrograms/kg/hour</v>
      </c>
      <c r="H143" s="372"/>
      <c r="I143" s="268"/>
      <c r="J143" s="373"/>
      <c r="K143" s="20"/>
      <c r="L143" s="109">
        <f>VLOOKUP("Yes",InfMorphine,7,FALSE)</f>
        <v>10</v>
      </c>
      <c r="M143" s="109" t="str">
        <f>VLOOKUP("Yes",InfMorphine,8,FALSE)</f>
        <v>to</v>
      </c>
      <c r="N143" s="109">
        <f>VLOOKUP("Yes",InfMorphine,9,FALSE)</f>
        <v>40</v>
      </c>
      <c r="O143" s="19" t="str">
        <f>VLOOKUP("Yes",InfMorphine,10,FALSE)</f>
        <v>micrograms/kg/hour</v>
      </c>
      <c r="P143" s="370"/>
      <c r="Q143" s="191"/>
      <c r="R143" s="191"/>
      <c r="S143" s="191"/>
      <c r="T143" s="268"/>
      <c r="U143" s="109">
        <f>VLOOKUP("Yes",InfMorphine,11,FALSE)</f>
        <v>0.5</v>
      </c>
      <c r="V143" s="109" t="str">
        <f>VLOOKUP("Yes",InfMorphine,12,FALSE)</f>
        <v>to</v>
      </c>
      <c r="W143" s="109">
        <f>VLOOKUP("Yes",InfMorphine,13,FALSE)</f>
        <v>2</v>
      </c>
      <c r="X143" s="109" t="str">
        <f>VLOOKUP("Yes",InfMorphine,14,FALSE)</f>
        <v>mL/hr</v>
      </c>
      <c r="Y143" s="208"/>
      <c r="Z143" s="370"/>
      <c r="AA143" s="18" t="str">
        <f>VLOOKUP("Yes",InfMorphine,17,FALSE)</f>
        <v>0.5 - 2 mL/hr</v>
      </c>
      <c r="AB143" s="18" t="str">
        <f>VLOOKUP("Yes",InfMorphine,18,FALSE)</f>
        <v>3.5 mg diluted to 50 mL</v>
      </c>
      <c r="AC143" s="18" t="str">
        <f>VLOOKUP("Yes",InfMorphine,19,FALSE)</f>
        <v>1ml/hr = 20 micrograms/kg/hour</v>
      </c>
      <c r="AD143" s="18" t="str">
        <f>VLOOKUP("Yes",InfMorphine,20,FALSE)</f>
        <v>@10 - 40 micrograms/kg/HOUR</v>
      </c>
      <c r="AE143" s="19"/>
      <c r="AF143" s="19"/>
      <c r="AG143" s="190"/>
    </row>
    <row r="144" spans="2:33" s="55" customFormat="1" ht="25" customHeight="1" x14ac:dyDescent="0.2">
      <c r="B144" s="370" t="s">
        <v>243</v>
      </c>
      <c r="C144" s="371">
        <f>VLOOKUP("Yes",InfMidazolam,2,FALSE)</f>
        <v>10.5</v>
      </c>
      <c r="D144" s="102" t="str">
        <f>VLOOKUP("Yes",InfMidazolam,3,FALSE)</f>
        <v>mg</v>
      </c>
      <c r="E144" s="208">
        <f>VLOOKUP("Yes",InfMidazolam,4,FALSE)</f>
        <v>50</v>
      </c>
      <c r="F144" s="20">
        <f>VLOOKUP("Yes",InfMidazolam,5,FALSE)</f>
        <v>1</v>
      </c>
      <c r="G144" s="19" t="str">
        <f>VLOOKUP("Yes",InfMidazolam,6,FALSE)</f>
        <v>micrograms/kg/min</v>
      </c>
      <c r="H144" s="372"/>
      <c r="I144" s="268"/>
      <c r="J144" s="373"/>
      <c r="K144" s="20"/>
      <c r="L144" s="109">
        <f>VLOOKUP("Yes",InfMidazolam,7,FALSE)</f>
        <v>1</v>
      </c>
      <c r="M144" s="109" t="str">
        <f>VLOOKUP("Yes",InfMidazolam,8,FALSE)</f>
        <v>to</v>
      </c>
      <c r="N144" s="109">
        <f>VLOOKUP("Yes",InfMidazolam,9,FALSE)</f>
        <v>4</v>
      </c>
      <c r="O144" s="19" t="str">
        <f>VLOOKUP("Yes",InfMidazolam,10,FALSE)</f>
        <v>micrograms/kg/min</v>
      </c>
      <c r="P144" s="370"/>
      <c r="Q144" s="191"/>
      <c r="R144" s="191"/>
      <c r="S144" s="191"/>
      <c r="T144" s="268"/>
      <c r="U144" s="109">
        <f>VLOOKUP("Yes",InfMidazolam,11,FALSE)</f>
        <v>1</v>
      </c>
      <c r="V144" s="109" t="str">
        <f>VLOOKUP("Yes",InfMidazolam,12,FALSE)</f>
        <v>to</v>
      </c>
      <c r="W144" s="109">
        <f>VLOOKUP("Yes",InfMidazolam,13,FALSE)</f>
        <v>4</v>
      </c>
      <c r="X144" s="109" t="str">
        <f>VLOOKUP("Yes",InfMidazolam,14,FALSE)</f>
        <v>mL/hr</v>
      </c>
      <c r="Y144" s="208"/>
      <c r="Z144" s="370"/>
      <c r="AA144" s="18" t="str">
        <f>VLOOKUP("Yes",InfMidazolam,17,FALSE)</f>
        <v>1 - 4 mL/hr</v>
      </c>
      <c r="AB144" s="18" t="str">
        <f>VLOOKUP("Yes",InfMidazolam,18,FALSE)</f>
        <v>10.5 mg diluted to 50 mL</v>
      </c>
      <c r="AC144" s="18" t="str">
        <f>VLOOKUP("Yes",InfMidazolam,19,FALSE)</f>
        <v>1ml/hr = 1 micrograms/kg/min</v>
      </c>
      <c r="AD144" s="18" t="str">
        <f>VLOOKUP("Yes",InfMidazolam,20,FALSE)</f>
        <v>@1 - 4 micrograms/kg/min</v>
      </c>
      <c r="AE144" s="19"/>
      <c r="AF144" s="19"/>
      <c r="AG144" s="190"/>
    </row>
    <row r="145" spans="2:33" s="55" customFormat="1" ht="25" customHeight="1" x14ac:dyDescent="0.2">
      <c r="B145" s="370" t="s">
        <v>244</v>
      </c>
      <c r="C145" s="371">
        <f>VLOOKUP("Yes",InfClonidine,2,FALSE)</f>
        <v>175</v>
      </c>
      <c r="D145" s="102" t="str">
        <f>VLOOKUP("Yes",InfClonidine,3,FALSE)</f>
        <v>micrograms</v>
      </c>
      <c r="E145" s="208">
        <f>VLOOKUP("Yes",InfClonidine,4,FALSE)</f>
        <v>50</v>
      </c>
      <c r="F145" s="20">
        <f>VLOOKUP("Yes",InfClonidine,5,FALSE)</f>
        <v>1</v>
      </c>
      <c r="G145" s="19" t="str">
        <f>VLOOKUP("Yes",InfClonidine,6,FALSE)</f>
        <v>micrograms/kg/hour</v>
      </c>
      <c r="H145" s="372"/>
      <c r="I145" s="268"/>
      <c r="J145" s="373"/>
      <c r="K145" s="20"/>
      <c r="L145" s="109">
        <f>VLOOKUP("Yes",InfClonidine,7,FALSE)</f>
        <v>0</v>
      </c>
      <c r="M145" s="109" t="str">
        <f>VLOOKUP("Yes",InfClonidine,8,FALSE)</f>
        <v>to</v>
      </c>
      <c r="N145" s="109">
        <f>VLOOKUP("Yes",InfClonidine,9,FALSE)</f>
        <v>3</v>
      </c>
      <c r="O145" s="19" t="str">
        <f>VLOOKUP("Yes",InfClonidine,10,FALSE)</f>
        <v>micrograms/kg/hour</v>
      </c>
      <c r="P145" s="370"/>
      <c r="Q145" s="191"/>
      <c r="R145" s="191"/>
      <c r="S145" s="191"/>
      <c r="T145" s="268"/>
      <c r="U145" s="109">
        <f>VLOOKUP("Yes",InfClonidine,11,FALSE)</f>
        <v>0</v>
      </c>
      <c r="V145" s="109" t="str">
        <f>VLOOKUP("Yes",InfClonidine,12,FALSE)</f>
        <v>to</v>
      </c>
      <c r="W145" s="109">
        <f>VLOOKUP("Yes",InfClonidine,13,FALSE)</f>
        <v>3</v>
      </c>
      <c r="X145" s="109" t="str">
        <f>VLOOKUP("Yes",InfClonidine,14,FALSE)</f>
        <v>mL/hr</v>
      </c>
      <c r="Y145" s="208"/>
      <c r="Z145" s="370"/>
      <c r="AA145" s="18" t="str">
        <f>VLOOKUP("Yes",InfClonidine,17,FALSE)</f>
        <v>0 - 3 mL/hr</v>
      </c>
      <c r="AB145" s="18" t="str">
        <f>VLOOKUP("Yes",InfClonidine,18,FALSE)</f>
        <v>175 micrograms diluted to 50 mL N/Saline</v>
      </c>
      <c r="AC145" s="18" t="str">
        <f>VLOOKUP("Yes",InfClonidine,19,FALSE)</f>
        <v>1ml/hr = 1 micrograms/kg/hour</v>
      </c>
      <c r="AD145" s="18" t="str">
        <f>VLOOKUP("Yes",InfClonidine,20,FALSE)</f>
        <v>@0 - 3 micrograms/kg/HOUR</v>
      </c>
      <c r="AE145" s="19"/>
      <c r="AF145" s="19"/>
      <c r="AG145" s="190"/>
    </row>
    <row r="146" spans="2:33" s="55" customFormat="1" ht="25" customHeight="1" x14ac:dyDescent="0.2">
      <c r="B146" s="370" t="s">
        <v>249</v>
      </c>
      <c r="C146" s="371">
        <f>Infusions!$E$45</f>
        <v>200</v>
      </c>
      <c r="D146" s="102" t="str">
        <f>Infusions!$F$45</f>
        <v>micrograms</v>
      </c>
      <c r="E146" s="208">
        <f>Infusions!$G$45</f>
        <v>50</v>
      </c>
      <c r="F146" s="20">
        <f>Infusions!$H$45</f>
        <v>1.1399999999999999</v>
      </c>
      <c r="G146" s="19" t="str">
        <f>Infusions!$I$45</f>
        <v>micrograms/kg/hour</v>
      </c>
      <c r="H146" s="372"/>
      <c r="I146" s="268"/>
      <c r="J146" s="373"/>
      <c r="K146" s="20"/>
      <c r="L146" s="109">
        <f>Infusions!$J$45</f>
        <v>0.2</v>
      </c>
      <c r="M146" s="109" t="str">
        <f>Infusions!$K$45</f>
        <v>to</v>
      </c>
      <c r="N146" s="109">
        <f>Infusions!$L$45</f>
        <v>1</v>
      </c>
      <c r="O146" s="19" t="str">
        <f>Infusions!$M$45</f>
        <v>micrograms/kg/hour</v>
      </c>
      <c r="P146" s="370"/>
      <c r="Q146" s="191"/>
      <c r="R146" s="191"/>
      <c r="S146" s="191"/>
      <c r="T146" s="268"/>
      <c r="U146" s="109">
        <f>Infusions!$N$45</f>
        <v>0.2</v>
      </c>
      <c r="V146" s="109" t="str">
        <f>Infusions!$O$45</f>
        <v>to</v>
      </c>
      <c r="W146" s="109">
        <f>Infusions!$P$45</f>
        <v>0.9</v>
      </c>
      <c r="X146" s="109" t="str">
        <f>Infusions!$Q$45</f>
        <v>mL/hr</v>
      </c>
      <c r="Y146" s="208"/>
      <c r="Z146" s="370"/>
      <c r="AA146" s="18" t="str">
        <f>Infusions!$T$45</f>
        <v>0.2 - 0.9 mL/hr</v>
      </c>
      <c r="AB146" s="18" t="str">
        <f>Infusions!$U$45</f>
        <v>200 micrograms diluted to 50 mL N/Saline</v>
      </c>
      <c r="AC146" s="18" t="str">
        <f>Infusions!$V$45</f>
        <v>1ml/hr = 1.14 micrograms/kg/hour</v>
      </c>
      <c r="AD146" s="18" t="str">
        <f>Infusions!$W$45</f>
        <v>@0.2 - 1 micrograms/kg/HOUR</v>
      </c>
      <c r="AE146" s="19"/>
      <c r="AF146" s="19"/>
      <c r="AG146" s="190"/>
    </row>
    <row r="147" spans="2:33" s="55" customFormat="1" ht="25" customHeight="1" x14ac:dyDescent="0.2">
      <c r="B147" s="374" t="s">
        <v>248</v>
      </c>
      <c r="C147" s="278">
        <f>Infusions!$E$54</f>
        <v>500</v>
      </c>
      <c r="D147" s="276" t="str">
        <f>Infusions!$F$54</f>
        <v>mg</v>
      </c>
      <c r="E147" s="277">
        <f>Infusions!$G$54</f>
        <v>50</v>
      </c>
      <c r="F147" s="238">
        <f>Infusions!$H$54</f>
        <v>2.86</v>
      </c>
      <c r="G147" s="21" t="str">
        <f>Infusions!$I$54</f>
        <v>mg/kg/hour</v>
      </c>
      <c r="H147" s="375"/>
      <c r="I147" s="376"/>
      <c r="J147" s="377"/>
      <c r="K147" s="238"/>
      <c r="L147" s="227">
        <f>Infusions!$J$54</f>
        <v>0</v>
      </c>
      <c r="M147" s="227" t="str">
        <f>Infusions!$K$54</f>
        <v>to</v>
      </c>
      <c r="N147" s="227">
        <f>Infusions!$L$54</f>
        <v>3</v>
      </c>
      <c r="O147" s="21" t="str">
        <f>Infusions!$M$54</f>
        <v>mg/kg/hour</v>
      </c>
      <c r="P147" s="374"/>
      <c r="Q147" s="378"/>
      <c r="R147" s="378"/>
      <c r="S147" s="378"/>
      <c r="T147" s="376"/>
      <c r="U147" s="227">
        <f>Infusions!$N$54</f>
        <v>0</v>
      </c>
      <c r="V147" s="227" t="str">
        <f>Infusions!$O$54</f>
        <v>to</v>
      </c>
      <c r="W147" s="227">
        <f>Infusions!$P$54</f>
        <v>1</v>
      </c>
      <c r="X147" s="227" t="str">
        <f>Infusions!$Q$54</f>
        <v>mL/hr</v>
      </c>
      <c r="Y147" s="277"/>
      <c r="Z147" s="374"/>
      <c r="AA147" s="22" t="str">
        <f>Infusions!$T$54</f>
        <v>0 - 1 mL/hr</v>
      </c>
      <c r="AB147" s="22" t="str">
        <f>Infusions!$U$54</f>
        <v>500 mg NEAT, total 50 mL</v>
      </c>
      <c r="AC147" s="22" t="str">
        <f>Infusions!$V$54</f>
        <v>1ml/hr = 2.86 mg/kg/hour</v>
      </c>
      <c r="AD147" s="22" t="str">
        <f>Infusions!$W$54</f>
        <v>@0 - 3 mg/kg/HOUR</v>
      </c>
      <c r="AE147" s="21"/>
      <c r="AF147" s="21"/>
      <c r="AG147" s="379"/>
    </row>
    <row r="148" spans="2:33" s="55" customFormat="1" ht="25" customHeight="1" x14ac:dyDescent="0.2">
      <c r="B148" s="374" t="s">
        <v>245</v>
      </c>
      <c r="C148" s="278">
        <f>Infusions!$E$42</f>
        <v>10.5</v>
      </c>
      <c r="D148" s="276" t="str">
        <f>Infusions!$F$42</f>
        <v>mg</v>
      </c>
      <c r="E148" s="277">
        <f>Infusions!$G$42</f>
        <v>50</v>
      </c>
      <c r="F148" s="238">
        <f>Infusions!$H$42</f>
        <v>1</v>
      </c>
      <c r="G148" s="21" t="str">
        <f>Infusions!$I$42</f>
        <v>micrograms/kg/min</v>
      </c>
      <c r="H148" s="375"/>
      <c r="I148" s="376"/>
      <c r="J148" s="377"/>
      <c r="K148" s="238"/>
      <c r="L148" s="227">
        <f>Infusions!$J$42</f>
        <v>1</v>
      </c>
      <c r="M148" s="227" t="str">
        <f>Infusions!$K$42</f>
        <v>to</v>
      </c>
      <c r="N148" s="227">
        <f>Infusions!$L$42</f>
        <v>4</v>
      </c>
      <c r="O148" s="21" t="str">
        <f>Infusions!$M$42</f>
        <v>micrograms/kg/min</v>
      </c>
      <c r="P148" s="374"/>
      <c r="Q148" s="378"/>
      <c r="R148" s="378"/>
      <c r="S148" s="378"/>
      <c r="T148" s="376"/>
      <c r="U148" s="227">
        <f>Infusions!$N$42</f>
        <v>1</v>
      </c>
      <c r="V148" s="227" t="str">
        <f>Infusions!$O$42</f>
        <v>to</v>
      </c>
      <c r="W148" s="227">
        <f>Infusions!$P$42</f>
        <v>4</v>
      </c>
      <c r="X148" s="227" t="str">
        <f>Infusions!$Q$42</f>
        <v>mL/hr</v>
      </c>
      <c r="Y148" s="277"/>
      <c r="Z148" s="374"/>
      <c r="AA148" s="22" t="str">
        <f>Infusions!$T$42</f>
        <v>1 - 4 mL/hr</v>
      </c>
      <c r="AB148" s="22" t="str">
        <f>Infusions!$U$42</f>
        <v>10.5 mg diluted to 50 mL</v>
      </c>
      <c r="AC148" s="22" t="str">
        <f>Infusions!$V$42</f>
        <v>1ml/hr = 1 micrograms/kg/min</v>
      </c>
      <c r="AD148" s="22" t="str">
        <f>Infusions!$W$42</f>
        <v>@1 - 4 micrograms/kg/min</v>
      </c>
      <c r="AE148" s="21"/>
      <c r="AF148" s="21"/>
      <c r="AG148" s="379"/>
    </row>
    <row r="149" spans="2:33" s="55" customFormat="1" ht="25" customHeight="1" x14ac:dyDescent="0.2">
      <c r="B149" s="374"/>
      <c r="C149" s="278"/>
      <c r="D149" s="276"/>
      <c r="E149" s="277"/>
      <c r="F149" s="238"/>
      <c r="G149" s="21"/>
      <c r="H149" s="375"/>
      <c r="I149" s="376"/>
      <c r="J149" s="377"/>
      <c r="K149" s="238"/>
      <c r="L149" s="227"/>
      <c r="M149" s="227"/>
      <c r="N149" s="227"/>
      <c r="O149" s="21"/>
      <c r="P149" s="374"/>
      <c r="Q149" s="378"/>
      <c r="R149" s="378"/>
      <c r="S149" s="378"/>
      <c r="T149" s="376"/>
      <c r="U149" s="227"/>
      <c r="V149" s="227"/>
      <c r="W149" s="227"/>
      <c r="X149" s="227"/>
      <c r="Y149" s="277"/>
      <c r="Z149" s="374"/>
      <c r="AA149" s="22"/>
      <c r="AB149" s="22"/>
      <c r="AC149" s="22"/>
      <c r="AD149" s="22"/>
      <c r="AE149" s="21"/>
      <c r="AF149" s="21"/>
      <c r="AG149" s="379"/>
    </row>
    <row r="150" spans="2:33" s="55" customFormat="1" ht="25" customHeight="1" x14ac:dyDescent="0.2">
      <c r="B150" s="374" t="s">
        <v>241</v>
      </c>
      <c r="C150" s="278">
        <f>VLOOKUP("Yes",InfSalbutamol,2,FALSE)</f>
        <v>10.5</v>
      </c>
      <c r="D150" s="276" t="str">
        <f>VLOOKUP("Yes",InfSalbutamol,3,FALSE)</f>
        <v>mg</v>
      </c>
      <c r="E150" s="277">
        <f>VLOOKUP("Yes",InfSalbutamol,4,FALSE)</f>
        <v>50</v>
      </c>
      <c r="F150" s="238">
        <f>VLOOKUP("Yes",InfSalbutamol,5,FALSE)</f>
        <v>1</v>
      </c>
      <c r="G150" s="21" t="str">
        <f>VLOOKUP("Yes",InfSalbutamol,6,FALSE)</f>
        <v>micrograms/kg/min</v>
      </c>
      <c r="H150" s="375"/>
      <c r="I150" s="376"/>
      <c r="J150" s="377"/>
      <c r="K150" s="238"/>
      <c r="L150" s="227">
        <f>VLOOKUP("Yes",InfSalbutamol,7,FALSE)</f>
        <v>1</v>
      </c>
      <c r="M150" s="227" t="str">
        <f>VLOOKUP("Yes",InfSalbutamol,8,FALSE)</f>
        <v>to</v>
      </c>
      <c r="N150" s="227">
        <f>VLOOKUP("Yes",InfSalbutamol,9,FALSE)</f>
        <v>2</v>
      </c>
      <c r="O150" s="21" t="str">
        <f>VLOOKUP("Yes",InfSalbutamol,10,FALSE)</f>
        <v>micrograms/kg/min</v>
      </c>
      <c r="P150" s="374"/>
      <c r="Q150" s="378"/>
      <c r="R150" s="378"/>
      <c r="S150" s="378"/>
      <c r="T150" s="376"/>
      <c r="U150" s="227">
        <f>VLOOKUP("Yes",InfSalbutamol,11,FALSE)</f>
        <v>1</v>
      </c>
      <c r="V150" s="227" t="str">
        <f>VLOOKUP("Yes",InfSalbutamol,12,FALSE)</f>
        <v>to</v>
      </c>
      <c r="W150" s="227">
        <f>VLOOKUP("Yes",InfSalbutamol,13,FALSE)</f>
        <v>2</v>
      </c>
      <c r="X150" s="227" t="str">
        <f>VLOOKUP("Yes",InfSalbutamol,14,FALSE)</f>
        <v>mL/hr</v>
      </c>
      <c r="Y150" s="277"/>
      <c r="Z150" s="374"/>
      <c r="AA150" s="22" t="str">
        <f>VLOOKUP("Yes",InfSalbutamol,17,FALSE)</f>
        <v>1 - 2 mL/hr</v>
      </c>
      <c r="AB150" s="22" t="str">
        <f>VLOOKUP("Yes",InfSalbutamol,18,FALSE)</f>
        <v>10.5 mg diluted to 50 mL</v>
      </c>
      <c r="AC150" s="22" t="str">
        <f>VLOOKUP("Yes",InfSalbutamol,19,FALSE)</f>
        <v>1ml/hr = 1 micrograms/kg/min</v>
      </c>
      <c r="AD150" s="22" t="str">
        <f>VLOOKUP("Yes",InfSalbutamol,20,FALSE)</f>
        <v>@1 - 2 micrograms/kg/min</v>
      </c>
      <c r="AE150" s="21"/>
      <c r="AF150" s="21"/>
      <c r="AG150" s="379"/>
    </row>
    <row r="151" spans="2:33" s="55" customFormat="1" ht="25" customHeight="1" x14ac:dyDescent="0.2">
      <c r="B151" s="374" t="s">
        <v>240</v>
      </c>
      <c r="C151" s="278">
        <f>VLOOKUP("Yes",InfAminophylline,2,FALSE)</f>
        <v>0</v>
      </c>
      <c r="D151" s="276">
        <f>VLOOKUP("Yes",InfAminophylline,3,FALSE)</f>
        <v>0</v>
      </c>
      <c r="E151" s="277">
        <f>VLOOKUP("Yes",InfAminophylline,4,FALSE)</f>
        <v>0</v>
      </c>
      <c r="F151" s="238">
        <f>VLOOKUP("Yes",InfAminophylline,5,FALSE)</f>
        <v>0</v>
      </c>
      <c r="G151" s="21">
        <f>VLOOKUP("Yes",InfAminophylline,6,FALSE)</f>
        <v>0</v>
      </c>
      <c r="H151" s="375"/>
      <c r="I151" s="376"/>
      <c r="J151" s="377"/>
      <c r="K151" s="238"/>
      <c r="L151" s="227">
        <f>VLOOKUP("Yes",InfAminophylline,7,FALSE)</f>
        <v>0</v>
      </c>
      <c r="M151" s="227"/>
      <c r="N151" s="227"/>
      <c r="O151" s="21">
        <f>VLOOKUP("Yes",InfAminophylline,10,FALSE)</f>
        <v>0</v>
      </c>
      <c r="P151" s="374"/>
      <c r="Q151" s="378"/>
      <c r="R151" s="378"/>
      <c r="S151" s="378"/>
      <c r="T151" s="376"/>
      <c r="U151" s="227">
        <f>VLOOKUP("Yes",InfAminophylline,11,FALSE)</f>
        <v>0</v>
      </c>
      <c r="V151" s="227"/>
      <c r="W151" s="227"/>
      <c r="X151" s="227">
        <f>VLOOKUP("Yes",InfAminophylline,14,FALSE)</f>
        <v>0</v>
      </c>
      <c r="Y151" s="277"/>
      <c r="Z151" s="374"/>
      <c r="AA151" s="259" t="str">
        <f>IF($F$2="Yes",VLOOKUP("Yes",InfAminophylline,17,FALSE),"Both age &amp; weight required")</f>
        <v>Both age &amp; weight required</v>
      </c>
      <c r="AB151" s="259">
        <f>IF($F$2="Yes",VLOOKUP("Yes",InfAminophylline,18,FALSE),0)</f>
        <v>0</v>
      </c>
      <c r="AC151" s="259">
        <f>IF($F$2="Yes",VLOOKUP("Yes",InfAminophylline,19,FALSE),0)</f>
        <v>0</v>
      </c>
      <c r="AD151" s="259">
        <f>IF($F$2="Yes",VLOOKUP("Yes",InfAminophylline,20,FALSE),0)</f>
        <v>0</v>
      </c>
      <c r="AE151" s="21"/>
      <c r="AF151" s="21"/>
      <c r="AG151" s="379"/>
    </row>
    <row r="152" spans="2:33" s="55" customFormat="1" ht="25" customHeight="1" x14ac:dyDescent="0.2">
      <c r="B152" s="374"/>
      <c r="C152" s="278"/>
      <c r="D152" s="276"/>
      <c r="E152" s="277"/>
      <c r="F152" s="238"/>
      <c r="G152" s="21"/>
      <c r="H152" s="375"/>
      <c r="I152" s="376"/>
      <c r="J152" s="377"/>
      <c r="K152" s="238"/>
      <c r="L152" s="227"/>
      <c r="M152" s="227"/>
      <c r="N152" s="227"/>
      <c r="O152" s="21"/>
      <c r="P152" s="374"/>
      <c r="Q152" s="378"/>
      <c r="R152" s="378"/>
      <c r="S152" s="378"/>
      <c r="T152" s="376"/>
      <c r="U152" s="227"/>
      <c r="V152" s="227"/>
      <c r="W152" s="227"/>
      <c r="X152" s="227"/>
      <c r="Y152" s="277"/>
      <c r="Z152" s="374"/>
      <c r="AA152" s="22"/>
      <c r="AB152" s="22"/>
      <c r="AC152" s="22"/>
      <c r="AD152" s="22"/>
      <c r="AE152" s="21"/>
      <c r="AF152" s="21"/>
      <c r="AG152" s="379"/>
    </row>
    <row r="153" spans="2:33" s="55" customFormat="1" ht="25" customHeight="1" x14ac:dyDescent="0.2">
      <c r="B153" s="374" t="s">
        <v>811</v>
      </c>
      <c r="C153" s="371">
        <f>VLOOKUP("Yes",InfAmiodarone,2,FALSE)</f>
        <v>105</v>
      </c>
      <c r="D153" s="276" t="str">
        <f>VLOOKUP("Yes",InfAmiodarone,3,FALSE)</f>
        <v>mg</v>
      </c>
      <c r="E153" s="277">
        <f>VLOOKUP("Yes",InfAmiodarone,4,FALSE)</f>
        <v>50</v>
      </c>
      <c r="F153" s="238">
        <f>VLOOKUP("Yes",InfAmiodarone,5,FALSE)</f>
        <v>10</v>
      </c>
      <c r="G153" s="21" t="str">
        <f>VLOOKUP("Yes",InfAmiodarone,6,FALSE)</f>
        <v>micrograms/kg/min</v>
      </c>
      <c r="H153" s="375"/>
      <c r="I153" s="376"/>
      <c r="J153" s="377"/>
      <c r="K153" s="238"/>
      <c r="L153" s="227">
        <f>VLOOKUP("Yes",InfAmiodarone,7,FALSE)</f>
        <v>5</v>
      </c>
      <c r="M153" s="227" t="str">
        <f>VLOOKUP("Yes",InfAmiodarone,8,FALSE)</f>
        <v>to</v>
      </c>
      <c r="N153" s="227">
        <f>VLOOKUP("Yes",InfAmiodarone,9,FALSE)</f>
        <v>15</v>
      </c>
      <c r="O153" s="21" t="str">
        <f>VLOOKUP("Yes",InfAmiodarone,10,FALSE)</f>
        <v>micrograms/kg/min</v>
      </c>
      <c r="P153" s="374"/>
      <c r="Q153" s="378"/>
      <c r="R153" s="378"/>
      <c r="S153" s="378"/>
      <c r="T153" s="376"/>
      <c r="U153" s="227">
        <f>VLOOKUP("Yes",InfAmiodarone,11,FALSE)</f>
        <v>0.5</v>
      </c>
      <c r="V153" s="227" t="str">
        <f>VLOOKUP("Yes",InfAmiodarone,12,FALSE)</f>
        <v>to</v>
      </c>
      <c r="W153" s="227">
        <f>VLOOKUP("Yes",InfAmiodarone,13,FALSE)</f>
        <v>1.5</v>
      </c>
      <c r="X153" s="227" t="str">
        <f>VLOOKUP("Yes",InfAmiodarone,14,FALSE)</f>
        <v>mL/hr</v>
      </c>
      <c r="Y153" s="277"/>
      <c r="Z153" s="374"/>
      <c r="AA153" s="22" t="str">
        <f>(25/F153)&amp;" mL/hr for 4 hours"</f>
        <v>2.5 mL/hr for 4 hours</v>
      </c>
      <c r="AB153" s="22" t="str">
        <f>"[central line] "&amp;VLOOKUP("Yes",InfAmiodarone,18,FALSE)</f>
        <v>[central line] 105 mg diluted to 50 mL D5W</v>
      </c>
      <c r="AC153" s="22" t="str">
        <f>VLOOKUP("Yes",InfAmiodarone,19,FALSE)</f>
        <v>1ml/hr = 10 micrograms/kg/min</v>
      </c>
      <c r="AD153" s="22" t="str">
        <f>"LOAD @25 micrograms/kg/min for 4 hours"</f>
        <v>LOAD @25 micrograms/kg/min for 4 hours</v>
      </c>
      <c r="AE153" s="21"/>
      <c r="AF153" s="21"/>
      <c r="AG153" s="379" t="s">
        <v>446</v>
      </c>
    </row>
    <row r="154" spans="2:33" s="55" customFormat="1" ht="25" customHeight="1" x14ac:dyDescent="0.2">
      <c r="B154" s="374" t="s">
        <v>441</v>
      </c>
      <c r="C154" s="278">
        <f>VLOOKUP("Yes",InfAmiodarone,2,FALSE)</f>
        <v>105</v>
      </c>
      <c r="D154" s="276" t="str">
        <f>VLOOKUP("Yes",InfAmiodarone,3,FALSE)</f>
        <v>mg</v>
      </c>
      <c r="E154" s="277">
        <f>VLOOKUP("Yes",InfAmiodarone,4,FALSE)</f>
        <v>50</v>
      </c>
      <c r="F154" s="238">
        <f>VLOOKUP("Yes",InfAmiodarone,5,FALSE)</f>
        <v>10</v>
      </c>
      <c r="G154" s="21" t="str">
        <f>VLOOKUP("Yes",InfAmiodarone,6,FALSE)</f>
        <v>micrograms/kg/min</v>
      </c>
      <c r="H154" s="375"/>
      <c r="I154" s="376"/>
      <c r="J154" s="377"/>
      <c r="K154" s="238"/>
      <c r="L154" s="227">
        <f>VLOOKUP("Yes",InfAmiodarone,7,FALSE)</f>
        <v>5</v>
      </c>
      <c r="M154" s="227" t="str">
        <f>VLOOKUP("Yes",InfAmiodarone,8,FALSE)</f>
        <v>to</v>
      </c>
      <c r="N154" s="227">
        <f>VLOOKUP("Yes",InfAmiodarone,9,FALSE)</f>
        <v>15</v>
      </c>
      <c r="O154" s="21" t="str">
        <f>VLOOKUP("Yes",InfAmiodarone,10,FALSE)</f>
        <v>micrograms/kg/min</v>
      </c>
      <c r="P154" s="374"/>
      <c r="Q154" s="378"/>
      <c r="R154" s="378"/>
      <c r="S154" s="378"/>
      <c r="T154" s="376"/>
      <c r="U154" s="227">
        <f>VLOOKUP("Yes",InfAmiodarone,11,FALSE)</f>
        <v>0.5</v>
      </c>
      <c r="V154" s="227" t="str">
        <f>VLOOKUP("Yes",InfAmiodarone,12,FALSE)</f>
        <v>to</v>
      </c>
      <c r="W154" s="227">
        <f>VLOOKUP("Yes",InfAmiodarone,13,FALSE)</f>
        <v>1.5</v>
      </c>
      <c r="X154" s="227" t="str">
        <f>VLOOKUP("Yes",InfAmiodarone,14,FALSE)</f>
        <v>mL/hr</v>
      </c>
      <c r="Y154" s="277"/>
      <c r="Z154" s="374"/>
      <c r="AA154" s="22" t="str">
        <f>"Load: "&amp;AA153&amp;CHAR(10)&amp;" Infusion: "&amp;VLOOKUP("Yes",InfAmiodarone,17,FALSE)</f>
        <v>Load: 2.5 mL/hr for 4 hours
 Infusion: 0.5 - 1.5 mL/hr</v>
      </c>
      <c r="AB154" s="22" t="str">
        <f>"[central line] "&amp;VLOOKUP("Yes",InfAmiodarone,18,FALSE)</f>
        <v>[central line] 105 mg diluted to 50 mL D5W</v>
      </c>
      <c r="AC154" s="22" t="str">
        <f>VLOOKUP("Yes",InfAmiodarone,19,FALSE)</f>
        <v>1ml/hr = 10 micrograms/kg/min</v>
      </c>
      <c r="AD154" s="22" t="str">
        <f>VLOOKUP("Yes",InfAmiodarone,20,FALSE)</f>
        <v>@5 - 15 micrograms/kg/min</v>
      </c>
      <c r="AE154" s="21"/>
      <c r="AF154" s="21"/>
      <c r="AG154" s="379" t="s">
        <v>446</v>
      </c>
    </row>
    <row r="155" spans="2:33" s="55" customFormat="1" ht="25" customHeight="1" x14ac:dyDescent="0.2">
      <c r="B155" s="374" t="s">
        <v>812</v>
      </c>
      <c r="C155" s="278">
        <f>Infusions!E$75</f>
        <v>100</v>
      </c>
      <c r="D155" s="276" t="str">
        <f>Infusions!F$75</f>
        <v>mg</v>
      </c>
      <c r="E155" s="277">
        <f>Infusions!G$75</f>
        <v>50</v>
      </c>
      <c r="F155" s="238">
        <f>Infusions!H$75</f>
        <v>9.52</v>
      </c>
      <c r="G155" s="21" t="str">
        <f>Infusions!I$75</f>
        <v>micrograms/kg/min</v>
      </c>
      <c r="H155" s="375"/>
      <c r="I155" s="376"/>
      <c r="J155" s="377"/>
      <c r="K155" s="238"/>
      <c r="L155" s="227">
        <f>Infusions!J$75</f>
        <v>5</v>
      </c>
      <c r="M155" s="227" t="str">
        <f>Infusions!K$75</f>
        <v>to</v>
      </c>
      <c r="N155" s="227">
        <f>Infusions!L$75</f>
        <v>15</v>
      </c>
      <c r="O155" s="21" t="str">
        <f>Infusions!M$75</f>
        <v>micrograms/kg/min</v>
      </c>
      <c r="P155" s="374"/>
      <c r="Q155" s="378"/>
      <c r="R155" s="378"/>
      <c r="S155" s="378"/>
      <c r="T155" s="376"/>
      <c r="U155" s="227">
        <f>Infusions!N$75</f>
        <v>0.53</v>
      </c>
      <c r="V155" s="227" t="str">
        <f>Infusions!O$75</f>
        <v>to</v>
      </c>
      <c r="W155" s="227">
        <f>Infusions!P$75</f>
        <v>1.58</v>
      </c>
      <c r="X155" s="227" t="str">
        <f>Infusions!Q$75</f>
        <v>mL/hr</v>
      </c>
      <c r="Y155" s="277"/>
      <c r="Z155" s="374"/>
      <c r="AA155" s="22" t="str">
        <f>Infusions!T$75</f>
        <v>0.53 - 1.58 mL/hr</v>
      </c>
      <c r="AB155" s="22" t="str">
        <f>"[peripheral] "&amp;Infusions!U$75</f>
        <v>[peripheral] Dilute 100 mg to 50 mL D5W</v>
      </c>
      <c r="AC155" s="22" t="str">
        <f>Infusions!V$75</f>
        <v>1ml/hr = 9.52 micrograms/kg/min</v>
      </c>
      <c r="AD155" s="22" t="str">
        <f>Infusions!W$75</f>
        <v>@5 - 15 micrograms/kg/min</v>
      </c>
      <c r="AE155" s="21"/>
      <c r="AF155" s="21"/>
      <c r="AG155" s="379" t="s">
        <v>446</v>
      </c>
    </row>
    <row r="156" spans="2:33" s="55" customFormat="1" ht="25" customHeight="1" x14ac:dyDescent="0.2">
      <c r="B156" s="374"/>
      <c r="C156" s="278"/>
      <c r="D156" s="276"/>
      <c r="E156" s="277"/>
      <c r="F156" s="238"/>
      <c r="G156" s="21"/>
      <c r="H156" s="375"/>
      <c r="I156" s="376"/>
      <c r="J156" s="377"/>
      <c r="K156" s="238"/>
      <c r="L156" s="227"/>
      <c r="M156" s="227"/>
      <c r="N156" s="227"/>
      <c r="O156" s="21"/>
      <c r="P156" s="374"/>
      <c r="Q156" s="378"/>
      <c r="R156" s="378"/>
      <c r="S156" s="378"/>
      <c r="T156" s="376"/>
      <c r="U156" s="227"/>
      <c r="V156" s="227"/>
      <c r="W156" s="227"/>
      <c r="X156" s="227"/>
      <c r="Y156" s="277"/>
      <c r="Z156" s="374"/>
      <c r="AA156" s="22"/>
      <c r="AB156" s="22"/>
      <c r="AC156" s="22"/>
      <c r="AD156" s="22"/>
      <c r="AE156" s="21"/>
      <c r="AF156" s="21"/>
      <c r="AG156" s="379"/>
    </row>
    <row r="157" spans="2:33" s="55" customFormat="1" ht="25" customHeight="1" x14ac:dyDescent="0.2">
      <c r="B157" s="374" t="s">
        <v>266</v>
      </c>
      <c r="C157" s="278">
        <f>VLOOKUP("Yes",InfFrusemide,2,FALSE)</f>
        <v>87.5</v>
      </c>
      <c r="D157" s="276" t="str">
        <f>VLOOKUP("Yes",InfFrusemide,3,FALSE)</f>
        <v>mg</v>
      </c>
      <c r="E157" s="277">
        <f>VLOOKUP("Yes",InfFrusemide,4,FALSE)</f>
        <v>50</v>
      </c>
      <c r="F157" s="238">
        <f>VLOOKUP("Yes",InfFrusemide,5,FALSE)</f>
        <v>0.5</v>
      </c>
      <c r="G157" s="21" t="str">
        <f>VLOOKUP("Yes",InfFrusemide,6,FALSE)</f>
        <v>mg/kg/hour</v>
      </c>
      <c r="H157" s="375"/>
      <c r="I157" s="376"/>
      <c r="J157" s="377"/>
      <c r="K157" s="238"/>
      <c r="L157" s="227">
        <f>VLOOKUP("Yes",InfFrusemide,7,FALSE)</f>
        <v>0.1</v>
      </c>
      <c r="M157" s="227" t="str">
        <f>VLOOKUP("Yes",InfFrusemide,8,FALSE)</f>
        <v>to</v>
      </c>
      <c r="N157" s="227">
        <f>VLOOKUP("Yes",InfFrusemide,9,FALSE)</f>
        <v>0.3</v>
      </c>
      <c r="O157" s="21" t="str">
        <f>VLOOKUP("Yes",InfFrusemide,10,FALSE)</f>
        <v>mg/kg/hour</v>
      </c>
      <c r="P157" s="374"/>
      <c r="Q157" s="378"/>
      <c r="R157" s="378"/>
      <c r="S157" s="378"/>
      <c r="T157" s="376"/>
      <c r="U157" s="227">
        <f>VLOOKUP("Yes",InfFrusemide,11,FALSE)</f>
        <v>0.2</v>
      </c>
      <c r="V157" s="227" t="str">
        <f>VLOOKUP("Yes",InfFrusemide,12,FALSE)</f>
        <v>to</v>
      </c>
      <c r="W157" s="227">
        <f>VLOOKUP("Yes",InfFrusemide,13,FALSE)</f>
        <v>0.6</v>
      </c>
      <c r="X157" s="227" t="str">
        <f>VLOOKUP("Yes",InfFrusemide,14,FALSE)</f>
        <v>mL/hr</v>
      </c>
      <c r="Y157" s="277"/>
      <c r="Z157" s="374"/>
      <c r="AA157" s="22" t="str">
        <f>VLOOKUP("Yes",InfFrusemide,17,FALSE)</f>
        <v>0.2 - 0.6 mL/hr</v>
      </c>
      <c r="AB157" s="22" t="str">
        <f>VLOOKUP("Yes",InfFrusemide,18,FALSE)</f>
        <v>87.5 mg diluted to 50 mL N/Saline</v>
      </c>
      <c r="AC157" s="22" t="str">
        <f>VLOOKUP("Yes",InfFrusemide,19,FALSE)</f>
        <v>1ml/hr = 0.5 mg/kg/hour</v>
      </c>
      <c r="AD157" s="22" t="str">
        <f>VLOOKUP("Yes",InfFrusemide,20,FALSE)</f>
        <v>@0.1 - 0.3 mg/kg/HOUR</v>
      </c>
      <c r="AE157" s="21"/>
      <c r="AF157" s="21"/>
      <c r="AG157" s="379"/>
    </row>
    <row r="158" spans="2:33" s="55" customFormat="1" ht="25" customHeight="1" x14ac:dyDescent="0.2">
      <c r="B158" s="374" t="s">
        <v>267</v>
      </c>
      <c r="C158" s="278">
        <f>Infusions!E$65</f>
        <v>50</v>
      </c>
      <c r="D158" s="276" t="str">
        <f>Infusions!F$65</f>
        <v>units</v>
      </c>
      <c r="E158" s="277">
        <f>Infusions!G$65</f>
        <v>50</v>
      </c>
      <c r="F158" s="238">
        <f>Infusions!H$65</f>
        <v>0.28599999999999998</v>
      </c>
      <c r="G158" s="21" t="str">
        <f>Infusions!I$65</f>
        <v>units/kg/hour</v>
      </c>
      <c r="H158" s="375"/>
      <c r="I158" s="376"/>
      <c r="J158" s="377"/>
      <c r="K158" s="238"/>
      <c r="L158" s="227">
        <f>Infusions!J$65</f>
        <v>0.1</v>
      </c>
      <c r="M158" s="227" t="str">
        <f>Infusions!K$65</f>
        <v>to</v>
      </c>
      <c r="N158" s="227">
        <f>Infusions!L$65</f>
        <v>0</v>
      </c>
      <c r="O158" s="21" t="str">
        <f>Infusions!M$65</f>
        <v>units/kg/hour</v>
      </c>
      <c r="P158" s="374"/>
      <c r="Q158" s="378"/>
      <c r="R158" s="378"/>
      <c r="S158" s="378"/>
      <c r="T158" s="376"/>
      <c r="U158" s="227">
        <f>Infusions!N$65</f>
        <v>0.3</v>
      </c>
      <c r="V158" s="227" t="str">
        <f>Infusions!O$65</f>
        <v>to</v>
      </c>
      <c r="W158" s="227">
        <f>Infusions!P$65</f>
        <v>0</v>
      </c>
      <c r="X158" s="227" t="str">
        <f>Infusions!Q$65</f>
        <v>mL/hr</v>
      </c>
      <c r="Y158" s="277"/>
      <c r="Z158" s="374"/>
      <c r="AA158" s="22" t="str">
        <f>Infusions!T$65</f>
        <v>0.3 mL/hr</v>
      </c>
      <c r="AB158" s="22" t="str">
        <f>Infusions!U$65</f>
        <v>50 units diluted to 50 mL N/Saline</v>
      </c>
      <c r="AC158" s="22" t="str">
        <f>Infusions!V$65</f>
        <v>1ml/hr = 0.29 units/kg/hour</v>
      </c>
      <c r="AD158" s="22" t="str">
        <f>Infusions!W$65</f>
        <v>@0.1 units/kg/HOUR</v>
      </c>
      <c r="AE158" s="21"/>
      <c r="AF158" s="21"/>
      <c r="AG158" s="379"/>
    </row>
    <row r="159" spans="2:33" s="55" customFormat="1" ht="25" customHeight="1" x14ac:dyDescent="0.2">
      <c r="B159" s="374" t="s">
        <v>268</v>
      </c>
      <c r="C159" s="278">
        <f>Infusions!E$67</f>
        <v>100</v>
      </c>
      <c r="D159" s="276" t="str">
        <f>Infusions!F$67</f>
        <v>mg</v>
      </c>
      <c r="E159" s="277">
        <f>Infusions!G$67</f>
        <v>10</v>
      </c>
      <c r="F159" s="238">
        <f>Infusions!H$67</f>
        <v>47.62</v>
      </c>
      <c r="G159" s="21" t="str">
        <f>Infusions!I$67</f>
        <v>micrograms/kg/min</v>
      </c>
      <c r="H159" s="375"/>
      <c r="I159" s="376"/>
      <c r="J159" s="377"/>
      <c r="K159" s="238"/>
      <c r="L159" s="227">
        <f>Infusions!J$67</f>
        <v>25</v>
      </c>
      <c r="M159" s="227" t="str">
        <f>Infusions!K$67</f>
        <v>to</v>
      </c>
      <c r="N159" s="227">
        <f>Infusions!L$67</f>
        <v>300</v>
      </c>
      <c r="O159" s="21" t="str">
        <f>Infusions!M$67</f>
        <v>micrograms/kg/min</v>
      </c>
      <c r="P159" s="374"/>
      <c r="Q159" s="378"/>
      <c r="R159" s="378"/>
      <c r="S159" s="378"/>
      <c r="T159" s="376"/>
      <c r="U159" s="227">
        <f>Infusions!N$67</f>
        <v>0.5</v>
      </c>
      <c r="V159" s="227" t="str">
        <f>Infusions!O$67</f>
        <v>to</v>
      </c>
      <c r="W159" s="227">
        <f>Infusions!P$67</f>
        <v>6.3</v>
      </c>
      <c r="X159" s="227" t="str">
        <f>Infusions!Q$67</f>
        <v>mL/hr</v>
      </c>
      <c r="Y159" s="277"/>
      <c r="Z159" s="374"/>
      <c r="AA159" s="22" t="str">
        <f>Infusions!T$67</f>
        <v>0.5 - 6.3 mL/hr</v>
      </c>
      <c r="AB159" s="22" t="str">
        <f>Infusions!U$67</f>
        <v>Draw up NEAT 10mg/1mL solution</v>
      </c>
      <c r="AC159" s="22" t="str">
        <f>Infusions!V$67</f>
        <v>1ml/hr = 47.62 micrograms/kg/min</v>
      </c>
      <c r="AD159" s="22" t="str">
        <f>Infusions!W$67</f>
        <v>@25 - 300 micrograms/kg/min</v>
      </c>
      <c r="AE159" s="21"/>
      <c r="AF159" s="21"/>
      <c r="AG159" s="379"/>
    </row>
    <row r="160" spans="2:33" s="55" customFormat="1" ht="25" customHeight="1" x14ac:dyDescent="0.2">
      <c r="B160" s="374" t="s">
        <v>265</v>
      </c>
      <c r="C160" s="278">
        <f>VLOOKUP("Yes",InfHeparin,2,FALSE)</f>
        <v>1750</v>
      </c>
      <c r="D160" s="276" t="str">
        <f>VLOOKUP("Yes",InfHeparin,3,FALSE)</f>
        <v>units</v>
      </c>
      <c r="E160" s="277">
        <f>VLOOKUP("Yes",InfHeparin,4,FALSE)</f>
        <v>50</v>
      </c>
      <c r="F160" s="238">
        <f>VLOOKUP("Yes",InfHeparin,5,FALSE)</f>
        <v>10</v>
      </c>
      <c r="G160" s="21" t="str">
        <f>VLOOKUP("Yes",InfHeparin,6,FALSE)</f>
        <v>units/kg/hour</v>
      </c>
      <c r="H160" s="375"/>
      <c r="I160" s="376"/>
      <c r="J160" s="377"/>
      <c r="K160" s="238"/>
      <c r="L160" s="227">
        <f>VLOOKUP("Yes",InfHeparin,7,FALSE)</f>
        <v>10</v>
      </c>
      <c r="M160" s="227" t="str">
        <f>VLOOKUP("Yes",InfHeparin,8,FALSE)</f>
        <v>to</v>
      </c>
      <c r="N160" s="227">
        <f>VLOOKUP("Yes",InfHeparin,9,FALSE)</f>
        <v>0</v>
      </c>
      <c r="O160" s="21" t="str">
        <f>VLOOKUP("Yes",InfHeparin,10,FALSE)</f>
        <v>units/kg/hour</v>
      </c>
      <c r="P160" s="374"/>
      <c r="Q160" s="378"/>
      <c r="R160" s="378"/>
      <c r="S160" s="378"/>
      <c r="T160" s="376"/>
      <c r="U160" s="227">
        <f>VLOOKUP("Yes",InfHeparin,11,FALSE)</f>
        <v>1</v>
      </c>
      <c r="V160" s="227" t="str">
        <f>VLOOKUP("Yes",InfHeparin,12,FALSE)</f>
        <v>to</v>
      </c>
      <c r="W160" s="227">
        <f>VLOOKUP("Yes",InfHeparin,13,FALSE)</f>
        <v>0</v>
      </c>
      <c r="X160" s="227" t="str">
        <f>VLOOKUP("Yes",InfHeparin,14,FALSE)</f>
        <v>mL/hr</v>
      </c>
      <c r="Y160" s="277"/>
      <c r="Z160" s="374"/>
      <c r="AA160" s="22" t="str">
        <f>VLOOKUP("Yes",InfHeparin,17,FALSE)</f>
        <v>1 mL/hr</v>
      </c>
      <c r="AB160" s="22" t="str">
        <f>VLOOKUP("Yes",InfHeparin,18,FALSE)</f>
        <v>1,750 units diluted to 50 mL</v>
      </c>
      <c r="AC160" s="22" t="str">
        <f>VLOOKUP("Yes",InfHeparin,19,FALSE)</f>
        <v>1ml/hr = 10 units/kg/hour</v>
      </c>
      <c r="AD160" s="22" t="str">
        <f>VLOOKUP("Yes",InfHeparin,20,FALSE)</f>
        <v>@10 units/kg/HOUR</v>
      </c>
      <c r="AE160" s="21"/>
      <c r="AF160" s="21"/>
      <c r="AG160" s="379"/>
    </row>
    <row r="161" spans="2:33" s="55" customFormat="1" ht="25" customHeight="1" x14ac:dyDescent="0.2">
      <c r="B161" s="374" t="s">
        <v>271</v>
      </c>
      <c r="C161" s="380">
        <f>VLOOKUP("Yes",InfIsoprenaline,2,FALSE)</f>
        <v>0.5</v>
      </c>
      <c r="D161" s="279" t="str">
        <f>VLOOKUP("Yes",InfIsoprenaline,3,FALSE)</f>
        <v>mg</v>
      </c>
      <c r="E161" s="280">
        <f>VLOOKUP("Yes",InfIsoprenaline,4,FALSE)</f>
        <v>50</v>
      </c>
      <c r="F161" s="238">
        <f>VLOOKUP("Yes",InfIsoprenaline,5,FALSE)</f>
        <v>0.05</v>
      </c>
      <c r="G161" s="21" t="str">
        <f>VLOOKUP("Yes",InfIsoprenaline,6,FALSE)</f>
        <v>micrograms/kg/min</v>
      </c>
      <c r="H161" s="238"/>
      <c r="I161" s="276"/>
      <c r="J161" s="277"/>
      <c r="K161" s="238"/>
      <c r="L161" s="227">
        <f>VLOOKUP("Yes",InfIsoprenaline,7,FALSE)</f>
        <v>0.01</v>
      </c>
      <c r="M161" s="227" t="str">
        <f>VLOOKUP("Yes",InfIsoprenaline,8,FALSE)</f>
        <v>to</v>
      </c>
      <c r="N161" s="227">
        <f>VLOOKUP("Yes",InfIsoprenaline,9,FALSE)</f>
        <v>1</v>
      </c>
      <c r="O161" s="21" t="str">
        <f>VLOOKUP("Yes",InfIsoprenaline,10,FALSE)</f>
        <v>micrograms/kg/min</v>
      </c>
      <c r="P161" s="278"/>
      <c r="Q161" s="227"/>
      <c r="R161" s="227"/>
      <c r="S161" s="227"/>
      <c r="T161" s="276"/>
      <c r="U161" s="227">
        <f>VLOOKUP("Yes",InfIsoprenaline,11,FALSE)</f>
        <v>0.2</v>
      </c>
      <c r="V161" s="227" t="str">
        <f>VLOOKUP("Yes",InfIsoprenaline,12,FALSE)</f>
        <v>to</v>
      </c>
      <c r="W161" s="227">
        <f>VLOOKUP("Yes",InfIsoprenaline,13,FALSE)</f>
        <v>20</v>
      </c>
      <c r="X161" s="227" t="str">
        <f>VLOOKUP("Yes",InfIsoprenaline,14,FALSE)</f>
        <v>mL/hr</v>
      </c>
      <c r="Y161" s="277"/>
      <c r="Z161" s="278"/>
      <c r="AA161" s="22" t="str">
        <f>VLOOKUP("Yes",InfIsoprenaline,17,FALSE)</f>
        <v>0.2 - 20 mL/hr</v>
      </c>
      <c r="AB161" s="22" t="str">
        <f>VLOOKUP("Yes",InfIsoprenaline,18,FALSE)</f>
        <v>0.5 mg diluted to 50 mL</v>
      </c>
      <c r="AC161" s="22" t="str">
        <f>VLOOKUP("Yes",InfIsoprenaline,19,FALSE)</f>
        <v>1ml/hr = 0.05 micrograms/kg/min</v>
      </c>
      <c r="AD161" s="22" t="str">
        <f>VLOOKUP("Yes",InfIsoprenaline,20,FALSE)</f>
        <v>@0.01 - 1 micrograms/kg/min</v>
      </c>
      <c r="AE161" s="21"/>
      <c r="AF161" s="21"/>
      <c r="AG161" s="379"/>
    </row>
    <row r="162" spans="2:33" s="55" customFormat="1" ht="25" customHeight="1" x14ac:dyDescent="0.2">
      <c r="B162" s="374" t="s">
        <v>813</v>
      </c>
      <c r="C162" s="278">
        <f>VLOOKUP("Yes",InfHeparinFull,2,FALSE)</f>
        <v>1750</v>
      </c>
      <c r="D162" s="276" t="str">
        <f>VLOOKUP("Yes",InfHeparinFull,3,FALSE)</f>
        <v>units</v>
      </c>
      <c r="E162" s="277">
        <f>VLOOKUP("Yes",InfHeparinFull,4,FALSE)</f>
        <v>50</v>
      </c>
      <c r="F162" s="238">
        <f>VLOOKUP("Yes",InfHeparinFull,5,FALSE)</f>
        <v>10</v>
      </c>
      <c r="G162" s="21" t="str">
        <f>VLOOKUP("Yes",InfHeparinFull,6,FALSE)</f>
        <v>units/kg/hour</v>
      </c>
      <c r="H162" s="375"/>
      <c r="I162" s="376"/>
      <c r="J162" s="377"/>
      <c r="K162" s="238"/>
      <c r="L162" s="227">
        <f>VLOOKUP("Yes",InfHeparinFull,7,FALSE)</f>
        <v>28</v>
      </c>
      <c r="M162" s="227" t="str">
        <f>VLOOKUP("Yes",InfHeparinFull,8,FALSE)</f>
        <v>to</v>
      </c>
      <c r="N162" s="227">
        <f>VLOOKUP("Yes",InfHeparinFull,9,FALSE)</f>
        <v>0</v>
      </c>
      <c r="O162" s="21" t="str">
        <f>VLOOKUP("Yes",InfHeparinFull,10,FALSE)</f>
        <v>units/kg/hour</v>
      </c>
      <c r="P162" s="374"/>
      <c r="Q162" s="378"/>
      <c r="R162" s="378"/>
      <c r="S162" s="378"/>
      <c r="T162" s="376"/>
      <c r="U162" s="227">
        <f>VLOOKUP("Yes",InfHeparinFull,11,FALSE)</f>
        <v>2.8</v>
      </c>
      <c r="V162" s="227" t="str">
        <f>VLOOKUP("Yes",InfHeparinFull,12,FALSE)</f>
        <v>to</v>
      </c>
      <c r="W162" s="227">
        <f>VLOOKUP("Yes",InfHeparinFull,13,FALSE)</f>
        <v>0</v>
      </c>
      <c r="X162" s="227" t="str">
        <f>VLOOKUP("Yes",InfHeparinFull,14,FALSE)</f>
        <v>mL/hr</v>
      </c>
      <c r="Y162" s="277"/>
      <c r="Z162" s="374"/>
      <c r="AA162" s="259" t="str">
        <f>IFERROR(IF($F$2="Yes",VLOOKUP("Yes",InfHeparinFull,17,FALSE),"Both age &amp; weight required"),0)</f>
        <v>Both age &amp; weight required</v>
      </c>
      <c r="AB162" s="259">
        <f>IFERROR(IF($F$2="Yes",VLOOKUP("Yes",InfHeparinFull,18,FALSE),0),0)</f>
        <v>0</v>
      </c>
      <c r="AC162" s="259">
        <f>IFERROR(IF($F$2="Yes",VLOOKUP("Yes",InfHeparinFull,19,FALSE),0),0)</f>
        <v>0</v>
      </c>
      <c r="AD162" s="259">
        <f>IFERROR(IF($F$2="Yes",VLOOKUP("Yes",InfHeparinFull,20,FALSE),0),0)</f>
        <v>0</v>
      </c>
      <c r="AE162" s="21"/>
      <c r="AF162" s="21"/>
      <c r="AG162" s="379"/>
    </row>
    <row r="163" spans="2:33" s="55" customFormat="1" ht="25" customHeight="1" x14ac:dyDescent="0.2">
      <c r="B163" s="374"/>
      <c r="C163" s="278"/>
      <c r="D163" s="276"/>
      <c r="E163" s="277"/>
      <c r="F163" s="238"/>
      <c r="G163" s="21"/>
      <c r="H163" s="375"/>
      <c r="I163" s="376"/>
      <c r="J163" s="377"/>
      <c r="K163" s="238"/>
      <c r="L163" s="227"/>
      <c r="M163" s="227"/>
      <c r="N163" s="227"/>
      <c r="O163" s="21"/>
      <c r="P163" s="374"/>
      <c r="Q163" s="378"/>
      <c r="R163" s="378"/>
      <c r="S163" s="378"/>
      <c r="T163" s="376"/>
      <c r="U163" s="227"/>
      <c r="V163" s="227"/>
      <c r="W163" s="227"/>
      <c r="X163" s="227"/>
      <c r="Y163" s="277"/>
      <c r="Z163" s="374"/>
      <c r="AA163" s="22"/>
      <c r="AB163" s="22"/>
      <c r="AC163" s="22"/>
      <c r="AD163" s="22"/>
      <c r="AE163" s="21"/>
      <c r="AF163" s="21"/>
      <c r="AG163" s="379"/>
    </row>
    <row r="164" spans="2:33" s="55" customFormat="1" ht="25" customHeight="1" x14ac:dyDescent="0.2">
      <c r="B164" s="374"/>
      <c r="C164" s="278"/>
      <c r="D164" s="276"/>
      <c r="E164" s="277"/>
      <c r="F164" s="238"/>
      <c r="G164" s="21"/>
      <c r="H164" s="375"/>
      <c r="I164" s="376"/>
      <c r="J164" s="377"/>
      <c r="K164" s="238"/>
      <c r="L164" s="227"/>
      <c r="M164" s="227"/>
      <c r="N164" s="227"/>
      <c r="O164" s="21"/>
      <c r="P164" s="374"/>
      <c r="Q164" s="378"/>
      <c r="R164" s="378"/>
      <c r="S164" s="378"/>
      <c r="T164" s="376"/>
      <c r="U164" s="227"/>
      <c r="V164" s="227"/>
      <c r="W164" s="227"/>
      <c r="X164" s="227"/>
      <c r="Y164" s="277"/>
      <c r="Z164" s="374"/>
      <c r="AA164" s="22"/>
      <c r="AB164" s="22"/>
      <c r="AC164" s="22"/>
      <c r="AD164" s="22"/>
      <c r="AE164" s="21"/>
      <c r="AF164" s="21"/>
      <c r="AG164" s="379"/>
    </row>
    <row r="165" spans="2:33" s="55" customFormat="1" ht="25" customHeight="1" x14ac:dyDescent="0.2">
      <c r="B165" s="374"/>
      <c r="C165" s="278"/>
      <c r="D165" s="276"/>
      <c r="E165" s="277"/>
      <c r="F165" s="238"/>
      <c r="G165" s="21"/>
      <c r="H165" s="375"/>
      <c r="I165" s="376"/>
      <c r="J165" s="377"/>
      <c r="K165" s="238"/>
      <c r="L165" s="227"/>
      <c r="M165" s="227"/>
      <c r="N165" s="227"/>
      <c r="O165" s="21"/>
      <c r="P165" s="374"/>
      <c r="Q165" s="378"/>
      <c r="R165" s="378"/>
      <c r="S165" s="378"/>
      <c r="T165" s="376"/>
      <c r="U165" s="227"/>
      <c r="V165" s="227"/>
      <c r="W165" s="227"/>
      <c r="X165" s="227"/>
      <c r="Y165" s="277"/>
      <c r="Z165" s="374"/>
      <c r="AA165" s="22"/>
      <c r="AB165" s="22"/>
      <c r="AC165" s="22"/>
      <c r="AD165" s="22"/>
      <c r="AE165" s="21"/>
      <c r="AF165" s="21"/>
      <c r="AG165" s="379"/>
    </row>
    <row r="166" spans="2:33" s="55" customFormat="1" ht="25" customHeight="1" thickBot="1" x14ac:dyDescent="0.25">
      <c r="B166" s="381"/>
      <c r="C166" s="382"/>
      <c r="D166" s="206"/>
      <c r="E166" s="210"/>
      <c r="F166" s="25"/>
      <c r="G166" s="23"/>
      <c r="H166" s="383"/>
      <c r="I166" s="384"/>
      <c r="J166" s="385"/>
      <c r="K166" s="25"/>
      <c r="L166" s="110"/>
      <c r="M166" s="110"/>
      <c r="N166" s="110"/>
      <c r="O166" s="23"/>
      <c r="P166" s="381"/>
      <c r="Q166" s="193"/>
      <c r="R166" s="193"/>
      <c r="S166" s="193"/>
      <c r="T166" s="384"/>
      <c r="U166" s="110"/>
      <c r="V166" s="110"/>
      <c r="W166" s="110"/>
      <c r="X166" s="110"/>
      <c r="Y166" s="210"/>
      <c r="Z166" s="381"/>
      <c r="AA166" s="24"/>
      <c r="AB166" s="24"/>
      <c r="AC166" s="24"/>
      <c r="AD166" s="24"/>
      <c r="AE166" s="23"/>
      <c r="AF166" s="23"/>
      <c r="AG166" s="192"/>
    </row>
    <row r="167" spans="2:33" ht="25" customHeight="1" thickBot="1" x14ac:dyDescent="0.25">
      <c r="AC167" s="56"/>
      <c r="AD167" s="56"/>
      <c r="AE167" s="56"/>
      <c r="AF167" s="56"/>
    </row>
    <row r="168" spans="2:33" s="55" customFormat="1" ht="50" customHeight="1" thickBot="1" x14ac:dyDescent="0.25">
      <c r="B168" s="308" t="s">
        <v>404</v>
      </c>
      <c r="C168" s="63"/>
      <c r="D168" s="64" t="s">
        <v>30</v>
      </c>
      <c r="E168" s="65"/>
      <c r="F168" s="66"/>
      <c r="G168" s="67"/>
      <c r="H168" s="68"/>
      <c r="I168" s="64" t="s">
        <v>69</v>
      </c>
      <c r="J168" s="69"/>
      <c r="K168" s="70"/>
      <c r="L168" s="71"/>
      <c r="M168" s="71"/>
      <c r="N168" s="71"/>
      <c r="O168" s="67"/>
      <c r="P168" s="71"/>
      <c r="Q168" s="71"/>
      <c r="R168" s="71"/>
      <c r="S168" s="71"/>
      <c r="T168" s="71"/>
      <c r="U168" s="71"/>
      <c r="V168" s="71"/>
      <c r="W168" s="71"/>
      <c r="X168" s="71"/>
      <c r="Y168" s="69"/>
      <c r="Z168" s="72"/>
      <c r="AA168" s="73"/>
      <c r="AB168" s="72"/>
      <c r="AC168" s="61"/>
      <c r="AD168" s="62"/>
      <c r="AE168" s="106"/>
      <c r="AF168" s="106"/>
      <c r="AG168" s="83"/>
    </row>
    <row r="169" spans="2:33" s="55" customFormat="1" ht="25" customHeight="1" x14ac:dyDescent="0.2">
      <c r="B169" s="98" t="s">
        <v>112</v>
      </c>
      <c r="C169" s="99"/>
      <c r="D169" s="386"/>
      <c r="E169" s="387"/>
      <c r="F169" s="388"/>
      <c r="G169" s="389"/>
      <c r="H169" s="390"/>
      <c r="I169" s="386">
        <v>200</v>
      </c>
      <c r="J169" s="391"/>
      <c r="K169" s="392"/>
      <c r="L169" s="393"/>
      <c r="M169" s="393"/>
      <c r="N169" s="393"/>
      <c r="O169" s="389"/>
      <c r="P169" s="393"/>
      <c r="Q169" s="393"/>
      <c r="R169" s="393"/>
      <c r="S169" s="393"/>
      <c r="T169" s="386"/>
      <c r="U169" s="393">
        <f>ROUND(IF((4*$C$2)&gt;$I169,$I169,4*$C$2),0)</f>
        <v>14</v>
      </c>
      <c r="V169" s="393"/>
      <c r="W169" s="393"/>
      <c r="X169" s="393"/>
      <c r="Y169" s="391"/>
      <c r="Z169" s="394"/>
      <c r="AA169" s="108" t="str">
        <f>$U169&amp;" Joules"</f>
        <v>14 Joules</v>
      </c>
      <c r="AB169" s="16"/>
      <c r="AC169" s="100" t="str">
        <f>"4 J/kg = "&amp;$U169&amp;" J"</f>
        <v>4 J/kg = 14 J</v>
      </c>
      <c r="AD169" s="303" t="s">
        <v>34</v>
      </c>
      <c r="AE169" s="108"/>
      <c r="AF169" s="108"/>
      <c r="AG169" s="394"/>
    </row>
    <row r="170" spans="2:33" s="55" customFormat="1" ht="25" customHeight="1" x14ac:dyDescent="0.2">
      <c r="B170" s="95" t="s">
        <v>24</v>
      </c>
      <c r="C170" s="96"/>
      <c r="D170" s="268"/>
      <c r="E170" s="373"/>
      <c r="F170" s="370"/>
      <c r="G170" s="395"/>
      <c r="H170" s="396"/>
      <c r="I170" s="268"/>
      <c r="J170" s="267"/>
      <c r="K170" s="372"/>
      <c r="L170" s="191"/>
      <c r="M170" s="191"/>
      <c r="N170" s="191"/>
      <c r="O170" s="395"/>
      <c r="P170" s="191"/>
      <c r="Q170" s="191"/>
      <c r="R170" s="191"/>
      <c r="S170" s="191"/>
      <c r="T170" s="268"/>
      <c r="U170" s="191"/>
      <c r="V170" s="191"/>
      <c r="W170" s="191"/>
      <c r="X170" s="191"/>
      <c r="Y170" s="267"/>
      <c r="Z170" s="190"/>
      <c r="AA170" s="109" t="str">
        <f>Calculations!$C$36&amp;" "&amp;Calculations!$D$36</f>
        <v>3.5 mm (3.0 - 4.0)</v>
      </c>
      <c r="AB170" s="18" t="s">
        <v>326</v>
      </c>
      <c r="AC170" s="97" t="str">
        <f>Calculations!$E$36</f>
        <v>ORAL: 9 cm @ lips</v>
      </c>
      <c r="AD170" s="208" t="str">
        <f>Calculations!$F$36</f>
        <v>NASAL: 11 cm @ nose</v>
      </c>
      <c r="AE170" s="109"/>
      <c r="AF170" s="109"/>
      <c r="AG170" s="190"/>
    </row>
    <row r="171" spans="2:33" s="55" customFormat="1" ht="25" customHeight="1" x14ac:dyDescent="0.2">
      <c r="B171" s="95" t="s">
        <v>328</v>
      </c>
      <c r="C171" s="96"/>
      <c r="D171" s="268"/>
      <c r="E171" s="373"/>
      <c r="F171" s="370"/>
      <c r="G171" s="395"/>
      <c r="H171" s="396"/>
      <c r="I171" s="268"/>
      <c r="J171" s="267"/>
      <c r="K171" s="372"/>
      <c r="L171" s="191"/>
      <c r="M171" s="191"/>
      <c r="N171" s="191"/>
      <c r="O171" s="395"/>
      <c r="P171" s="191"/>
      <c r="Q171" s="191"/>
      <c r="R171" s="191"/>
      <c r="S171" s="191"/>
      <c r="T171" s="268"/>
      <c r="U171" s="191"/>
      <c r="V171" s="191"/>
      <c r="W171" s="191"/>
      <c r="X171" s="191"/>
      <c r="Y171" s="267"/>
      <c r="Z171" s="190"/>
      <c r="AA171" s="109">
        <v>0</v>
      </c>
      <c r="AB171" s="18" t="s">
        <v>330</v>
      </c>
      <c r="AC171" s="97" t="s">
        <v>329</v>
      </c>
      <c r="AD171" s="208"/>
      <c r="AE171" s="109"/>
      <c r="AF171" s="109"/>
      <c r="AG171" s="190"/>
    </row>
    <row r="172" spans="2:33" s="55" customFormat="1" ht="25" customHeight="1" x14ac:dyDescent="0.2">
      <c r="B172" s="95" t="s">
        <v>380</v>
      </c>
      <c r="C172" s="96"/>
      <c r="D172" s="268"/>
      <c r="E172" s="373"/>
      <c r="F172" s="370"/>
      <c r="G172" s="395"/>
      <c r="H172" s="396"/>
      <c r="I172" s="268"/>
      <c r="J172" s="267"/>
      <c r="K172" s="372"/>
      <c r="L172" s="191"/>
      <c r="M172" s="191"/>
      <c r="N172" s="191"/>
      <c r="O172" s="395"/>
      <c r="P172" s="191"/>
      <c r="Q172" s="191"/>
      <c r="R172" s="191"/>
      <c r="S172" s="191"/>
      <c r="T172" s="268"/>
      <c r="U172" s="191"/>
      <c r="V172" s="191"/>
      <c r="W172" s="191"/>
      <c r="X172" s="191"/>
      <c r="Y172" s="267"/>
      <c r="Z172" s="190"/>
      <c r="AA172" s="109" t="str">
        <f>"Size "&amp;VLOOKUP("Yes",LMAClassic,2,FALSE)</f>
        <v>Size 1</v>
      </c>
      <c r="AB172" s="18"/>
      <c r="AC172" s="97" t="str">
        <f>"Max cuff volume: "&amp;VLOOKUP("Yes",LMAClassic,3,FALSE)&amp;" mL"</f>
        <v>Max cuff volume: 4 mL</v>
      </c>
      <c r="AD172" s="208"/>
      <c r="AE172" s="109"/>
      <c r="AF172" s="109"/>
      <c r="AG172" s="190"/>
    </row>
    <row r="173" spans="2:33" s="55" customFormat="1" ht="25" customHeight="1" x14ac:dyDescent="0.2">
      <c r="B173" s="95" t="s">
        <v>532</v>
      </c>
      <c r="C173" s="96"/>
      <c r="D173" s="268"/>
      <c r="E173" s="373"/>
      <c r="F173" s="370"/>
      <c r="G173" s="395"/>
      <c r="H173" s="396"/>
      <c r="I173" s="268"/>
      <c r="J173" s="267"/>
      <c r="K173" s="372"/>
      <c r="L173" s="191"/>
      <c r="M173" s="191"/>
      <c r="N173" s="191"/>
      <c r="O173" s="395"/>
      <c r="P173" s="191"/>
      <c r="Q173" s="191"/>
      <c r="R173" s="191"/>
      <c r="S173" s="191"/>
      <c r="T173" s="268"/>
      <c r="U173" s="191"/>
      <c r="V173" s="191"/>
      <c r="W173" s="191"/>
      <c r="X173" s="191"/>
      <c r="Y173" s="267"/>
      <c r="Z173" s="190"/>
      <c r="AA173" s="109" t="str">
        <f>"Size "&amp;VLOOKUP("Yes",LMAAirQ,2,FALSE)</f>
        <v>Size 1</v>
      </c>
      <c r="AB173" s="18"/>
      <c r="AC173" s="97"/>
      <c r="AD173" s="208"/>
      <c r="AE173" s="109"/>
      <c r="AF173" s="109"/>
      <c r="AG173" s="190"/>
    </row>
    <row r="174" spans="2:33" s="55" customFormat="1" ht="25" customHeight="1" x14ac:dyDescent="0.2">
      <c r="B174" s="95" t="s">
        <v>381</v>
      </c>
      <c r="C174" s="96"/>
      <c r="D174" s="268"/>
      <c r="E174" s="373"/>
      <c r="F174" s="370"/>
      <c r="G174" s="395"/>
      <c r="H174" s="396"/>
      <c r="I174" s="268"/>
      <c r="J174" s="267"/>
      <c r="K174" s="372"/>
      <c r="L174" s="191"/>
      <c r="M174" s="191"/>
      <c r="N174" s="191"/>
      <c r="O174" s="395"/>
      <c r="P174" s="191"/>
      <c r="Q174" s="191"/>
      <c r="R174" s="191"/>
      <c r="S174" s="191"/>
      <c r="T174" s="268"/>
      <c r="U174" s="191"/>
      <c r="V174" s="191"/>
      <c r="W174" s="191"/>
      <c r="X174" s="191"/>
      <c r="Y174" s="267"/>
      <c r="Z174" s="190"/>
      <c r="AA174" s="109" t="str">
        <f>"Size "&amp;VLOOKUP("Yes",LMAAirQ3,2,FALSE)</f>
        <v>Size 0.5 (PINK)</v>
      </c>
      <c r="AB174" s="18"/>
      <c r="AC174" s="97" t="str">
        <f>"Cuff inflation volume: "&amp;VLOOKUP("Yes",LMAAirQ3,3,FALSE)</f>
        <v>Cuff inflation volume: 0 - 0.5 mL</v>
      </c>
      <c r="AD174" s="208" t="str">
        <f>"Max ETT size for channel: "&amp;VLOOKUP("Yes",LMAAirQ3,4,FALSE)</f>
        <v>Max ETT size for channel: 3.5 mm</v>
      </c>
      <c r="AE174" s="109"/>
      <c r="AF174" s="109"/>
      <c r="AG174" s="190"/>
    </row>
    <row r="175" spans="2:33" s="55" customFormat="1" ht="25" customHeight="1" x14ac:dyDescent="0.2">
      <c r="B175" s="95" t="s">
        <v>382</v>
      </c>
      <c r="C175" s="96"/>
      <c r="D175" s="268"/>
      <c r="E175" s="373"/>
      <c r="F175" s="370"/>
      <c r="G175" s="395"/>
      <c r="H175" s="396"/>
      <c r="I175" s="268"/>
      <c r="J175" s="267"/>
      <c r="K175" s="372"/>
      <c r="L175" s="191"/>
      <c r="M175" s="191"/>
      <c r="N175" s="191"/>
      <c r="O175" s="395"/>
      <c r="P175" s="191"/>
      <c r="Q175" s="191"/>
      <c r="R175" s="191"/>
      <c r="S175" s="191"/>
      <c r="T175" s="268"/>
      <c r="U175" s="191"/>
      <c r="V175" s="191"/>
      <c r="W175" s="191"/>
      <c r="X175" s="191"/>
      <c r="Y175" s="267"/>
      <c r="Z175" s="190"/>
      <c r="AA175" s="109" t="str">
        <f>"Size "&amp;VLOOKUP("Yes",LMAIGel,2,FALSE)</f>
        <v>Size 1</v>
      </c>
      <c r="AB175" s="18"/>
      <c r="AC175" s="97"/>
      <c r="AD175" s="208"/>
      <c r="AE175" s="109"/>
      <c r="AF175" s="109"/>
      <c r="AG175" s="190"/>
    </row>
    <row r="176" spans="2:33" s="55" customFormat="1" ht="25" customHeight="1" x14ac:dyDescent="0.2">
      <c r="B176" s="95" t="s">
        <v>400</v>
      </c>
      <c r="C176" s="96"/>
      <c r="D176" s="268"/>
      <c r="E176" s="373"/>
      <c r="F176" s="370"/>
      <c r="G176" s="395"/>
      <c r="H176" s="396"/>
      <c r="I176" s="268"/>
      <c r="J176" s="267"/>
      <c r="K176" s="372"/>
      <c r="L176" s="191"/>
      <c r="M176" s="191"/>
      <c r="N176" s="191"/>
      <c r="O176" s="395"/>
      <c r="P176" s="191"/>
      <c r="Q176" s="191"/>
      <c r="R176" s="191"/>
      <c r="S176" s="191"/>
      <c r="T176" s="268"/>
      <c r="U176" s="191"/>
      <c r="V176" s="191"/>
      <c r="W176" s="191"/>
      <c r="X176" s="191"/>
      <c r="Y176" s="267"/>
      <c r="Z176" s="190"/>
      <c r="AA176" s="109" t="str">
        <f>IF(Calculations!C192="Not supported","Not supported",Calculations!C192&amp;" m2")</f>
        <v>0.24 m2</v>
      </c>
      <c r="AB176" s="18" t="s">
        <v>401</v>
      </c>
      <c r="AC176" s="97" t="s">
        <v>406</v>
      </c>
      <c r="AD176" s="208" t="s">
        <v>418</v>
      </c>
      <c r="AE176" s="109"/>
      <c r="AF176" s="109"/>
      <c r="AG176" s="190"/>
    </row>
    <row r="177" spans="2:33" s="55" customFormat="1" ht="25" customHeight="1" x14ac:dyDescent="0.2">
      <c r="B177" s="95" t="s">
        <v>502</v>
      </c>
      <c r="C177" s="96"/>
      <c r="D177" s="268"/>
      <c r="E177" s="373"/>
      <c r="F177" s="370"/>
      <c r="G177" s="395"/>
      <c r="H177" s="396"/>
      <c r="I177" s="268"/>
      <c r="J177" s="267"/>
      <c r="K177" s="372"/>
      <c r="L177" s="191"/>
      <c r="M177" s="191"/>
      <c r="N177" s="191"/>
      <c r="O177" s="395"/>
      <c r="P177" s="191"/>
      <c r="Q177" s="191"/>
      <c r="R177" s="191"/>
      <c r="S177" s="191"/>
      <c r="T177" s="268"/>
      <c r="U177" s="191"/>
      <c r="V177" s="191"/>
      <c r="W177" s="191"/>
      <c r="X177" s="191"/>
      <c r="Y177" s="267"/>
      <c r="Z177" s="190"/>
      <c r="AA177" s="420" t="str">
        <f>IF($I$2="Yes",VLOOKUP("Yes",NZPEWS,2,FALSE),"Age required")</f>
        <v>Age required</v>
      </c>
      <c r="AB177" s="18"/>
      <c r="AC177" s="421">
        <f>IF($I$2="Yes",VLOOKUP("Yes",NZPEWS,5,FALSE),0)</f>
        <v>0</v>
      </c>
      <c r="AD177" s="222">
        <f>IF($I$2="Yes",IF(LEFT($AC177,3)="Not",0,"based on NZPEWS"),0)</f>
        <v>0</v>
      </c>
      <c r="AE177" s="109"/>
      <c r="AF177" s="109"/>
      <c r="AG177" s="190"/>
    </row>
    <row r="178" spans="2:33" s="55" customFormat="1" ht="25" customHeight="1" x14ac:dyDescent="0.2">
      <c r="B178" s="95" t="s">
        <v>503</v>
      </c>
      <c r="C178" s="96"/>
      <c r="D178" s="268"/>
      <c r="E178" s="373"/>
      <c r="F178" s="370"/>
      <c r="G178" s="395"/>
      <c r="H178" s="396"/>
      <c r="I178" s="268"/>
      <c r="J178" s="267"/>
      <c r="K178" s="372"/>
      <c r="L178" s="191"/>
      <c r="M178" s="191"/>
      <c r="N178" s="191"/>
      <c r="O178" s="395"/>
      <c r="P178" s="191"/>
      <c r="Q178" s="191"/>
      <c r="R178" s="191"/>
      <c r="S178" s="191"/>
      <c r="T178" s="268"/>
      <c r="U178" s="191"/>
      <c r="V178" s="191"/>
      <c r="W178" s="191"/>
      <c r="X178" s="191"/>
      <c r="Y178" s="267"/>
      <c r="Z178" s="190"/>
      <c r="AA178" s="420" t="str">
        <f>IF($I$2="Yes",VLOOKUP("Yes",NZPEWS,3,FALSE),"Age required")</f>
        <v>Age required</v>
      </c>
      <c r="AB178" s="18"/>
      <c r="AC178" s="421">
        <f>IF($I$2="Yes",VLOOKUP("Yes",NZPEWS,5,FALSE),0)</f>
        <v>0</v>
      </c>
      <c r="AD178" s="222">
        <f>IF($I$2="Yes",IF(LEFT($AC178,3)="Not",0,"based on NZPEWS"),0)</f>
        <v>0</v>
      </c>
      <c r="AE178" s="109"/>
      <c r="AF178" s="109"/>
      <c r="AG178" s="190"/>
    </row>
    <row r="179" spans="2:33" s="55" customFormat="1" ht="25" customHeight="1" x14ac:dyDescent="0.2">
      <c r="B179" s="95" t="s">
        <v>504</v>
      </c>
      <c r="C179" s="96"/>
      <c r="D179" s="268"/>
      <c r="E179" s="373"/>
      <c r="F179" s="370"/>
      <c r="G179" s="395"/>
      <c r="H179" s="396"/>
      <c r="I179" s="268"/>
      <c r="J179" s="267"/>
      <c r="K179" s="372"/>
      <c r="L179" s="191"/>
      <c r="M179" s="191"/>
      <c r="N179" s="191"/>
      <c r="O179" s="395"/>
      <c r="P179" s="191"/>
      <c r="Q179" s="191"/>
      <c r="R179" s="191"/>
      <c r="S179" s="191"/>
      <c r="T179" s="268"/>
      <c r="U179" s="191"/>
      <c r="V179" s="191"/>
      <c r="W179" s="191"/>
      <c r="X179" s="191"/>
      <c r="Y179" s="267"/>
      <c r="Z179" s="190"/>
      <c r="AA179" s="420" t="str">
        <f>IF($I$2="Yes",VLOOKUP("Yes",NZPEWS,4,FALSE),"Age required")</f>
        <v>Age required</v>
      </c>
      <c r="AB179" s="18"/>
      <c r="AC179" s="421">
        <f>IF($I$2="Yes",VLOOKUP("Yes",NZPEWS,5,FALSE),0)</f>
        <v>0</v>
      </c>
      <c r="AD179" s="222">
        <f>IF($I$2="Yes",IF(LEFT($AC179,3)="Not",0,"based on NZPEWS"),0)</f>
        <v>0</v>
      </c>
      <c r="AE179" s="109"/>
      <c r="AF179" s="109"/>
      <c r="AG179" s="190"/>
    </row>
    <row r="180" spans="2:33" s="55" customFormat="1" ht="25" customHeight="1" x14ac:dyDescent="0.2">
      <c r="B180" s="443" t="s">
        <v>578</v>
      </c>
      <c r="C180" s="444"/>
      <c r="D180" s="376"/>
      <c r="E180" s="377"/>
      <c r="F180" s="374"/>
      <c r="G180" s="445"/>
      <c r="H180" s="446"/>
      <c r="I180" s="376"/>
      <c r="J180" s="447"/>
      <c r="K180" s="375"/>
      <c r="L180" s="378"/>
      <c r="M180" s="378"/>
      <c r="N180" s="378"/>
      <c r="O180" s="445"/>
      <c r="P180" s="378"/>
      <c r="Q180" s="378"/>
      <c r="R180" s="378"/>
      <c r="S180" s="378"/>
      <c r="T180" s="376"/>
      <c r="U180" s="378"/>
      <c r="V180" s="378"/>
      <c r="W180" s="378"/>
      <c r="X180" s="378"/>
      <c r="Y180" s="447"/>
      <c r="Z180" s="379"/>
      <c r="AA180" s="227" t="str">
        <f>VLOOKUP("Yes",LaryngoscopeSize,2,FALSE)</f>
        <v>Miller 0 (or Mac 0)</v>
      </c>
      <c r="AB180" s="22"/>
      <c r="AC180" s="441"/>
      <c r="AD180" s="277"/>
      <c r="AE180" s="227"/>
      <c r="AF180" s="227"/>
      <c r="AG180" s="379"/>
    </row>
    <row r="181" spans="2:33" s="55" customFormat="1" ht="25" customHeight="1" thickBot="1" x14ac:dyDescent="0.25">
      <c r="B181" s="26" t="s">
        <v>572</v>
      </c>
      <c r="C181" s="27"/>
      <c r="D181" s="397"/>
      <c r="E181" s="385"/>
      <c r="F181" s="381"/>
      <c r="G181" s="398"/>
      <c r="H181" s="399"/>
      <c r="I181" s="384"/>
      <c r="J181" s="400"/>
      <c r="K181" s="383"/>
      <c r="L181" s="193"/>
      <c r="M181" s="193"/>
      <c r="N181" s="193"/>
      <c r="O181" s="398"/>
      <c r="P181" s="193"/>
      <c r="Q181" s="193"/>
      <c r="R181" s="193"/>
      <c r="S181" s="193"/>
      <c r="T181" s="384"/>
      <c r="U181" s="193"/>
      <c r="V181" s="193"/>
      <c r="W181" s="193"/>
      <c r="X181" s="193"/>
      <c r="Y181" s="400"/>
      <c r="Z181" s="192"/>
      <c r="AA181" s="110" t="str">
        <f>VLOOKUP("Yes",GlidescopeSize,2,FALSE)</f>
        <v>LoPro S1 (or Miller S0)</v>
      </c>
      <c r="AB181" s="192"/>
      <c r="AC181" s="28" t="str">
        <f>"Backup direct laryngoscope size:"</f>
        <v>Backup direct laryngoscope size:</v>
      </c>
      <c r="AD181" s="210" t="str">
        <f>AA180</f>
        <v>Miller 0 (or Mac 0)</v>
      </c>
      <c r="AE181" s="110"/>
      <c r="AF181" s="110"/>
      <c r="AG181" s="192"/>
    </row>
    <row r="182" spans="2:33" s="55" customFormat="1" ht="25" customHeight="1" thickBot="1" x14ac:dyDescent="0.25"/>
    <row r="183" spans="2:33" s="55" customFormat="1" ht="50" customHeight="1" thickBot="1" x14ac:dyDescent="0.25">
      <c r="B183" s="311" t="s">
        <v>403</v>
      </c>
      <c r="C183" s="312"/>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72"/>
      <c r="AA183" s="414" t="s">
        <v>403</v>
      </c>
      <c r="AB183" s="314"/>
      <c r="AC183" s="72"/>
      <c r="AD183" s="74"/>
    </row>
    <row r="184" spans="2:33" s="55" customFormat="1" ht="25" customHeight="1" x14ac:dyDescent="0.2">
      <c r="B184" s="401" t="s">
        <v>71</v>
      </c>
      <c r="C184" s="359"/>
      <c r="D184" s="369"/>
      <c r="E184" s="369"/>
      <c r="F184" s="369"/>
      <c r="G184" s="369"/>
      <c r="H184" s="369"/>
      <c r="I184" s="369"/>
      <c r="J184" s="369"/>
      <c r="K184" s="369"/>
      <c r="L184" s="369"/>
      <c r="M184" s="369"/>
      <c r="N184" s="369"/>
      <c r="O184" s="369"/>
      <c r="P184" s="369"/>
      <c r="Q184" s="369"/>
      <c r="R184" s="369"/>
      <c r="S184" s="369"/>
      <c r="T184" s="369"/>
      <c r="U184" s="369"/>
      <c r="V184" s="369"/>
      <c r="W184" s="369"/>
      <c r="X184" s="369"/>
      <c r="Y184" s="369"/>
      <c r="Z184" s="363"/>
      <c r="AA184" s="15" t="str">
        <f t="shared" ref="AA184:AA203" si="89">$B184</f>
        <v>Anaphylaxis</v>
      </c>
      <c r="AB184" s="359"/>
      <c r="AC184" s="363"/>
      <c r="AD184" s="402"/>
    </row>
    <row r="185" spans="2:33" s="55" customFormat="1" ht="25" customHeight="1" x14ac:dyDescent="0.2">
      <c r="B185" s="95" t="s">
        <v>152</v>
      </c>
      <c r="C185" s="370"/>
      <c r="D185" s="191"/>
      <c r="E185" s="191"/>
      <c r="F185" s="191"/>
      <c r="G185" s="191"/>
      <c r="H185" s="191"/>
      <c r="I185" s="191"/>
      <c r="J185" s="191"/>
      <c r="K185" s="191"/>
      <c r="L185" s="191"/>
      <c r="M185" s="191"/>
      <c r="N185" s="191"/>
      <c r="O185" s="191"/>
      <c r="P185" s="191"/>
      <c r="Q185" s="191"/>
      <c r="R185" s="191"/>
      <c r="S185" s="191"/>
      <c r="T185" s="191"/>
      <c r="U185" s="191"/>
      <c r="V185" s="191"/>
      <c r="W185" s="191"/>
      <c r="X185" s="191"/>
      <c r="Y185" s="191"/>
      <c r="Z185" s="190"/>
      <c r="AA185" s="15" t="str">
        <f t="shared" si="89"/>
        <v>Antibiotics</v>
      </c>
      <c r="AB185" s="370"/>
      <c r="AC185" s="190"/>
      <c r="AD185" s="395"/>
    </row>
    <row r="186" spans="2:33" s="55" customFormat="1" ht="25" customHeight="1" x14ac:dyDescent="0.2">
      <c r="B186" s="95" t="s">
        <v>156</v>
      </c>
      <c r="C186" s="370"/>
      <c r="D186" s="191"/>
      <c r="E186" s="191"/>
      <c r="F186" s="191"/>
      <c r="G186" s="191"/>
      <c r="H186" s="191"/>
      <c r="I186" s="191"/>
      <c r="J186" s="191"/>
      <c r="K186" s="191"/>
      <c r="L186" s="191"/>
      <c r="M186" s="191"/>
      <c r="N186" s="191"/>
      <c r="O186" s="191"/>
      <c r="P186" s="191"/>
      <c r="Q186" s="191"/>
      <c r="R186" s="191"/>
      <c r="S186" s="191"/>
      <c r="T186" s="191"/>
      <c r="U186" s="191"/>
      <c r="V186" s="191"/>
      <c r="W186" s="191"/>
      <c r="X186" s="191"/>
      <c r="Y186" s="191"/>
      <c r="Z186" s="190"/>
      <c r="AA186" s="15" t="str">
        <f t="shared" si="89"/>
        <v>Asthma</v>
      </c>
      <c r="AB186" s="370"/>
      <c r="AC186" s="190"/>
      <c r="AD186" s="395"/>
    </row>
    <row r="187" spans="2:33" s="55" customFormat="1" ht="25" customHeight="1" x14ac:dyDescent="0.2">
      <c r="B187" s="95" t="s">
        <v>149</v>
      </c>
      <c r="C187" s="370"/>
      <c r="D187" s="191"/>
      <c r="E187" s="191"/>
      <c r="F187" s="191"/>
      <c r="G187" s="191"/>
      <c r="H187" s="191"/>
      <c r="I187" s="191"/>
      <c r="J187" s="191"/>
      <c r="K187" s="191"/>
      <c r="L187" s="191"/>
      <c r="M187" s="191"/>
      <c r="N187" s="191"/>
      <c r="O187" s="191"/>
      <c r="P187" s="191"/>
      <c r="Q187" s="191"/>
      <c r="R187" s="191"/>
      <c r="S187" s="191"/>
      <c r="T187" s="191"/>
      <c r="U187" s="191"/>
      <c r="V187" s="191"/>
      <c r="W187" s="191"/>
      <c r="X187" s="191"/>
      <c r="Y187" s="191"/>
      <c r="Z187" s="190"/>
      <c r="AA187" s="15" t="str">
        <f t="shared" si="89"/>
        <v>Bleeding</v>
      </c>
      <c r="AB187" s="370"/>
      <c r="AC187" s="190"/>
      <c r="AD187" s="395"/>
    </row>
    <row r="188" spans="2:33" s="55" customFormat="1" ht="25" customHeight="1" x14ac:dyDescent="0.2">
      <c r="B188" s="95" t="s">
        <v>68</v>
      </c>
      <c r="C188" s="370"/>
      <c r="D188" s="191"/>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0"/>
      <c r="AA188" s="15" t="str">
        <f t="shared" si="89"/>
        <v>Cardiac arrest</v>
      </c>
      <c r="AB188" s="370"/>
      <c r="AC188" s="190"/>
      <c r="AD188" s="395"/>
    </row>
    <row r="189" spans="2:33" s="55" customFormat="1" ht="25" customHeight="1" x14ac:dyDescent="0.2">
      <c r="B189" s="95" t="s">
        <v>154</v>
      </c>
      <c r="C189" s="370"/>
      <c r="D189" s="191"/>
      <c r="E189" s="191"/>
      <c r="F189" s="191"/>
      <c r="G189" s="191"/>
      <c r="H189" s="191"/>
      <c r="I189" s="191"/>
      <c r="J189" s="191"/>
      <c r="K189" s="191"/>
      <c r="L189" s="191"/>
      <c r="M189" s="191"/>
      <c r="N189" s="191"/>
      <c r="O189" s="191"/>
      <c r="P189" s="191"/>
      <c r="Q189" s="191"/>
      <c r="R189" s="191"/>
      <c r="S189" s="191"/>
      <c r="T189" s="191"/>
      <c r="U189" s="191"/>
      <c r="V189" s="191"/>
      <c r="W189" s="191"/>
      <c r="X189" s="191"/>
      <c r="Y189" s="191"/>
      <c r="Z189" s="190"/>
      <c r="AA189" s="15" t="str">
        <f t="shared" si="89"/>
        <v>Cardiac drugs</v>
      </c>
      <c r="AB189" s="370"/>
      <c r="AC189" s="190"/>
      <c r="AD189" s="395"/>
    </row>
    <row r="190" spans="2:33" s="55" customFormat="1" ht="25" customHeight="1" x14ac:dyDescent="0.2">
      <c r="B190" s="95" t="s">
        <v>802</v>
      </c>
      <c r="C190" s="370"/>
      <c r="D190" s="191"/>
      <c r="E190" s="191"/>
      <c r="F190" s="191"/>
      <c r="G190" s="191"/>
      <c r="H190" s="191"/>
      <c r="I190" s="191"/>
      <c r="J190" s="191"/>
      <c r="K190" s="191"/>
      <c r="L190" s="191"/>
      <c r="M190" s="191"/>
      <c r="N190" s="191"/>
      <c r="O190" s="191"/>
      <c r="P190" s="191"/>
      <c r="Q190" s="191"/>
      <c r="R190" s="191"/>
      <c r="S190" s="191"/>
      <c r="T190" s="191"/>
      <c r="U190" s="191"/>
      <c r="V190" s="191"/>
      <c r="W190" s="191"/>
      <c r="X190" s="191"/>
      <c r="Y190" s="191"/>
      <c r="Z190" s="190"/>
      <c r="AA190" s="15" t="str">
        <f t="shared" si="89"/>
        <v>Other drugs</v>
      </c>
      <c r="AB190" s="370"/>
      <c r="AC190" s="190"/>
      <c r="AD190" s="395"/>
    </row>
    <row r="191" spans="2:33" s="55" customFormat="1" ht="25" customHeight="1" x14ac:dyDescent="0.2">
      <c r="B191" s="95" t="s">
        <v>331</v>
      </c>
      <c r="C191" s="370"/>
      <c r="D191" s="191"/>
      <c r="E191" s="191"/>
      <c r="F191" s="191"/>
      <c r="G191" s="191"/>
      <c r="H191" s="191"/>
      <c r="I191" s="191"/>
      <c r="J191" s="191"/>
      <c r="K191" s="191"/>
      <c r="L191" s="191"/>
      <c r="M191" s="191"/>
      <c r="N191" s="191"/>
      <c r="O191" s="191"/>
      <c r="P191" s="191"/>
      <c r="Q191" s="191"/>
      <c r="R191" s="191"/>
      <c r="S191" s="191"/>
      <c r="T191" s="191"/>
      <c r="U191" s="191"/>
      <c r="V191" s="191"/>
      <c r="W191" s="191"/>
      <c r="X191" s="191"/>
      <c r="Y191" s="191"/>
      <c r="Z191" s="190"/>
      <c r="AA191" s="15" t="str">
        <f t="shared" si="89"/>
        <v>Fluids</v>
      </c>
      <c r="AB191" s="370"/>
      <c r="AC191" s="190"/>
      <c r="AD191" s="395"/>
    </row>
    <row r="192" spans="2:33" s="55" customFormat="1" ht="25" customHeight="1" x14ac:dyDescent="0.2">
      <c r="B192" s="95" t="s">
        <v>53</v>
      </c>
      <c r="C192" s="370"/>
      <c r="D192" s="191"/>
      <c r="E192" s="191"/>
      <c r="F192" s="191"/>
      <c r="G192" s="191"/>
      <c r="H192" s="191"/>
      <c r="I192" s="191"/>
      <c r="J192" s="191"/>
      <c r="K192" s="191"/>
      <c r="L192" s="191"/>
      <c r="M192" s="191"/>
      <c r="N192" s="191"/>
      <c r="O192" s="191"/>
      <c r="P192" s="191"/>
      <c r="Q192" s="191"/>
      <c r="R192" s="191"/>
      <c r="S192" s="191"/>
      <c r="T192" s="191"/>
      <c r="U192" s="191"/>
      <c r="V192" s="191"/>
      <c r="W192" s="191"/>
      <c r="X192" s="191"/>
      <c r="Y192" s="191"/>
      <c r="Z192" s="190"/>
      <c r="AA192" s="15" t="str">
        <f t="shared" si="89"/>
        <v>Hypotension and shock</v>
      </c>
      <c r="AB192" s="370"/>
      <c r="AC192" s="190"/>
      <c r="AD192" s="395"/>
    </row>
    <row r="193" spans="2:30" s="55" customFormat="1" ht="25" customHeight="1" x14ac:dyDescent="0.2">
      <c r="B193" s="95" t="s">
        <v>224</v>
      </c>
      <c r="C193" s="370"/>
      <c r="D193" s="191"/>
      <c r="E193" s="191"/>
      <c r="F193" s="191"/>
      <c r="G193" s="191"/>
      <c r="H193" s="191"/>
      <c r="I193" s="191"/>
      <c r="J193" s="191"/>
      <c r="K193" s="191"/>
      <c r="L193" s="191"/>
      <c r="M193" s="191"/>
      <c r="N193" s="191"/>
      <c r="O193" s="191"/>
      <c r="P193" s="191"/>
      <c r="Q193" s="191"/>
      <c r="R193" s="191"/>
      <c r="S193" s="191"/>
      <c r="T193" s="191"/>
      <c r="U193" s="191"/>
      <c r="V193" s="191"/>
      <c r="W193" s="191"/>
      <c r="X193" s="191"/>
      <c r="Y193" s="191"/>
      <c r="Z193" s="190"/>
      <c r="AA193" s="15" t="str">
        <f t="shared" si="89"/>
        <v>Infusions</v>
      </c>
      <c r="AB193" s="370"/>
      <c r="AC193" s="190"/>
      <c r="AD193" s="395"/>
    </row>
    <row r="194" spans="2:30" s="55" customFormat="1" ht="25" customHeight="1" x14ac:dyDescent="0.2">
      <c r="B194" s="95" t="s">
        <v>512</v>
      </c>
      <c r="C194" s="370"/>
      <c r="D194" s="191"/>
      <c r="E194" s="191"/>
      <c r="F194" s="191"/>
      <c r="G194" s="191"/>
      <c r="H194" s="191"/>
      <c r="I194" s="191"/>
      <c r="J194" s="191"/>
      <c r="K194" s="191"/>
      <c r="L194" s="191"/>
      <c r="M194" s="191"/>
      <c r="N194" s="191"/>
      <c r="O194" s="191"/>
      <c r="P194" s="191"/>
      <c r="Q194" s="191"/>
      <c r="R194" s="191"/>
      <c r="S194" s="191"/>
      <c r="T194" s="191"/>
      <c r="U194" s="191"/>
      <c r="V194" s="191"/>
      <c r="W194" s="191"/>
      <c r="X194" s="191"/>
      <c r="Y194" s="191"/>
      <c r="Z194" s="190"/>
      <c r="AA194" s="15" t="str">
        <f t="shared" si="89"/>
        <v>Normal Vital Signs</v>
      </c>
      <c r="AB194" s="370"/>
      <c r="AC194" s="190"/>
      <c r="AD194" s="395"/>
    </row>
    <row r="195" spans="2:30" s="55" customFormat="1" ht="25" customHeight="1" x14ac:dyDescent="0.2">
      <c r="B195" s="95" t="s">
        <v>432</v>
      </c>
      <c r="C195" s="370"/>
      <c r="D195" s="191"/>
      <c r="E195" s="191"/>
      <c r="F195" s="191"/>
      <c r="G195" s="191"/>
      <c r="H195" s="191"/>
      <c r="I195" s="191"/>
      <c r="J195" s="191"/>
      <c r="K195" s="191"/>
      <c r="L195" s="191"/>
      <c r="M195" s="191"/>
      <c r="N195" s="191"/>
      <c r="O195" s="191"/>
      <c r="P195" s="191"/>
      <c r="Q195" s="191"/>
      <c r="R195" s="191"/>
      <c r="S195" s="191"/>
      <c r="T195" s="191"/>
      <c r="U195" s="191"/>
      <c r="V195" s="191"/>
      <c r="W195" s="191"/>
      <c r="X195" s="191"/>
      <c r="Y195" s="191"/>
      <c r="Z195" s="190"/>
      <c r="AA195" s="15" t="str">
        <f t="shared" si="89"/>
        <v>Phone numbers</v>
      </c>
      <c r="AB195" s="370"/>
      <c r="AC195" s="190"/>
      <c r="AD195" s="395"/>
    </row>
    <row r="196" spans="2:30" s="55" customFormat="1" ht="25" customHeight="1" x14ac:dyDescent="0.2">
      <c r="B196" s="95" t="s">
        <v>285</v>
      </c>
      <c r="C196" s="370"/>
      <c r="D196" s="191"/>
      <c r="E196" s="191"/>
      <c r="F196" s="191"/>
      <c r="G196" s="191"/>
      <c r="H196" s="191"/>
      <c r="I196" s="191"/>
      <c r="J196" s="191"/>
      <c r="K196" s="191"/>
      <c r="L196" s="191"/>
      <c r="M196" s="191"/>
      <c r="N196" s="191"/>
      <c r="O196" s="191"/>
      <c r="P196" s="191"/>
      <c r="Q196" s="191"/>
      <c r="R196" s="191"/>
      <c r="S196" s="191"/>
      <c r="T196" s="191"/>
      <c r="U196" s="191"/>
      <c r="V196" s="191"/>
      <c r="W196" s="191"/>
      <c r="X196" s="191"/>
      <c r="Y196" s="191"/>
      <c r="Z196" s="190"/>
      <c r="AA196" s="15" t="str">
        <f t="shared" si="89"/>
        <v>Raised ICP</v>
      </c>
      <c r="AB196" s="370"/>
      <c r="AC196" s="190"/>
      <c r="AD196" s="395"/>
    </row>
    <row r="197" spans="2:30" s="55" customFormat="1" ht="25" customHeight="1" x14ac:dyDescent="0.2">
      <c r="B197" s="95" t="s">
        <v>153</v>
      </c>
      <c r="C197" s="370"/>
      <c r="D197" s="191"/>
      <c r="E197" s="191"/>
      <c r="F197" s="191"/>
      <c r="G197" s="191"/>
      <c r="H197" s="191"/>
      <c r="I197" s="191"/>
      <c r="J197" s="191"/>
      <c r="K197" s="191"/>
      <c r="L197" s="191"/>
      <c r="M197" s="191"/>
      <c r="N197" s="191"/>
      <c r="O197" s="191"/>
      <c r="P197" s="191"/>
      <c r="Q197" s="191"/>
      <c r="R197" s="191"/>
      <c r="S197" s="191"/>
      <c r="T197" s="191"/>
      <c r="U197" s="191"/>
      <c r="V197" s="191"/>
      <c r="W197" s="191"/>
      <c r="X197" s="191"/>
      <c r="Y197" s="191"/>
      <c r="Z197" s="190"/>
      <c r="AA197" s="15" t="str">
        <f t="shared" si="89"/>
        <v>Respiratory drugs</v>
      </c>
      <c r="AB197" s="370"/>
      <c r="AC197" s="190"/>
      <c r="AD197" s="395"/>
    </row>
    <row r="198" spans="2:30" s="55" customFormat="1" ht="25" customHeight="1" x14ac:dyDescent="0.2">
      <c r="B198" s="95" t="s">
        <v>70</v>
      </c>
      <c r="C198" s="370"/>
      <c r="D198" s="191"/>
      <c r="E198" s="191"/>
      <c r="F198" s="191"/>
      <c r="G198" s="191"/>
      <c r="H198" s="191"/>
      <c r="I198" s="191"/>
      <c r="J198" s="191"/>
      <c r="K198" s="191"/>
      <c r="L198" s="191"/>
      <c r="M198" s="191"/>
      <c r="N198" s="191"/>
      <c r="O198" s="191"/>
      <c r="P198" s="191"/>
      <c r="Q198" s="191"/>
      <c r="R198" s="191"/>
      <c r="S198" s="191"/>
      <c r="T198" s="191"/>
      <c r="U198" s="191"/>
      <c r="V198" s="191"/>
      <c r="W198" s="191"/>
      <c r="X198" s="191"/>
      <c r="Y198" s="191"/>
      <c r="Z198" s="190"/>
      <c r="AA198" s="15" t="str">
        <f t="shared" si="89"/>
        <v>Reversal agents</v>
      </c>
      <c r="AB198" s="370"/>
      <c r="AC198" s="190"/>
      <c r="AD198" s="395"/>
    </row>
    <row r="199" spans="2:30" s="55" customFormat="1" ht="25" customHeight="1" x14ac:dyDescent="0.2">
      <c r="B199" s="95" t="s">
        <v>25</v>
      </c>
      <c r="C199" s="370"/>
      <c r="D199" s="191"/>
      <c r="E199" s="191"/>
      <c r="F199" s="191"/>
      <c r="G199" s="191"/>
      <c r="H199" s="191"/>
      <c r="I199" s="191"/>
      <c r="J199" s="191"/>
      <c r="K199" s="191"/>
      <c r="L199" s="191"/>
      <c r="M199" s="191"/>
      <c r="N199" s="191"/>
      <c r="O199" s="191"/>
      <c r="P199" s="191"/>
      <c r="Q199" s="191"/>
      <c r="R199" s="191"/>
      <c r="S199" s="191"/>
      <c r="T199" s="191"/>
      <c r="U199" s="191"/>
      <c r="V199" s="191"/>
      <c r="W199" s="191"/>
      <c r="X199" s="191"/>
      <c r="Y199" s="191"/>
      <c r="Z199" s="190"/>
      <c r="AA199" s="15" t="str">
        <f t="shared" si="89"/>
        <v>RSI</v>
      </c>
      <c r="AB199" s="370"/>
      <c r="AC199" s="190"/>
      <c r="AD199" s="395"/>
    </row>
    <row r="200" spans="2:30" s="55" customFormat="1" ht="25" customHeight="1" x14ac:dyDescent="0.2">
      <c r="B200" s="95" t="s">
        <v>26</v>
      </c>
      <c r="C200" s="370"/>
      <c r="D200" s="191"/>
      <c r="E200" s="191"/>
      <c r="F200" s="191"/>
      <c r="G200" s="191"/>
      <c r="H200" s="191"/>
      <c r="I200" s="191"/>
      <c r="J200" s="191"/>
      <c r="K200" s="191"/>
      <c r="L200" s="191"/>
      <c r="M200" s="191"/>
      <c r="N200" s="191"/>
      <c r="O200" s="191"/>
      <c r="P200" s="191"/>
      <c r="Q200" s="191"/>
      <c r="R200" s="191"/>
      <c r="S200" s="191"/>
      <c r="T200" s="191"/>
      <c r="U200" s="191"/>
      <c r="V200" s="191"/>
      <c r="W200" s="191"/>
      <c r="X200" s="191"/>
      <c r="Y200" s="191"/>
      <c r="Z200" s="190"/>
      <c r="AA200" s="15" t="str">
        <f t="shared" si="89"/>
        <v>Seizure</v>
      </c>
      <c r="AB200" s="370"/>
      <c r="AC200" s="190"/>
      <c r="AD200" s="395"/>
    </row>
    <row r="201" spans="2:30" s="55" customFormat="1" ht="25" customHeight="1" x14ac:dyDescent="0.2">
      <c r="B201" s="95" t="s">
        <v>77</v>
      </c>
      <c r="C201" s="370"/>
      <c r="D201" s="191"/>
      <c r="E201" s="191"/>
      <c r="F201" s="191"/>
      <c r="G201" s="191"/>
      <c r="H201" s="191"/>
      <c r="I201" s="191"/>
      <c r="J201" s="191"/>
      <c r="K201" s="191"/>
      <c r="L201" s="191"/>
      <c r="M201" s="191"/>
      <c r="N201" s="191"/>
      <c r="O201" s="191"/>
      <c r="P201" s="191"/>
      <c r="Q201" s="191"/>
      <c r="R201" s="191"/>
      <c r="S201" s="191"/>
      <c r="T201" s="191"/>
      <c r="U201" s="191"/>
      <c r="V201" s="191"/>
      <c r="W201" s="191"/>
      <c r="X201" s="191"/>
      <c r="Y201" s="191"/>
      <c r="Z201" s="190"/>
      <c r="AA201" s="15" t="str">
        <f t="shared" si="89"/>
        <v>Sepsis</v>
      </c>
      <c r="AB201" s="370"/>
      <c r="AC201" s="190"/>
      <c r="AD201" s="395"/>
    </row>
    <row r="202" spans="2:30" s="55" customFormat="1" ht="25" customHeight="1" x14ac:dyDescent="0.2">
      <c r="B202" s="95" t="s">
        <v>333</v>
      </c>
      <c r="C202" s="370"/>
      <c r="D202" s="191"/>
      <c r="E202" s="191"/>
      <c r="F202" s="191"/>
      <c r="G202" s="191"/>
      <c r="H202" s="191"/>
      <c r="I202" s="191"/>
      <c r="J202" s="191"/>
      <c r="K202" s="191"/>
      <c r="L202" s="191"/>
      <c r="M202" s="191"/>
      <c r="N202" s="191"/>
      <c r="O202" s="191"/>
      <c r="P202" s="191"/>
      <c r="Q202" s="191"/>
      <c r="R202" s="191"/>
      <c r="S202" s="191"/>
      <c r="T202" s="191"/>
      <c r="U202" s="191"/>
      <c r="V202" s="191"/>
      <c r="W202" s="191"/>
      <c r="X202" s="191"/>
      <c r="Y202" s="191"/>
      <c r="Z202" s="190"/>
      <c r="AA202" s="15" t="str">
        <f t="shared" si="89"/>
        <v>Status Epilepticus</v>
      </c>
      <c r="AB202" s="370"/>
      <c r="AC202" s="190"/>
      <c r="AD202" s="395"/>
    </row>
    <row r="203" spans="2:30" s="55" customFormat="1" ht="25" customHeight="1" x14ac:dyDescent="0.2">
      <c r="B203" s="95" t="s">
        <v>151</v>
      </c>
      <c r="C203" s="370"/>
      <c r="D203" s="191"/>
      <c r="E203" s="191"/>
      <c r="F203" s="191"/>
      <c r="G203" s="191"/>
      <c r="H203" s="191"/>
      <c r="I203" s="191"/>
      <c r="J203" s="191"/>
      <c r="K203" s="191"/>
      <c r="L203" s="191"/>
      <c r="M203" s="191"/>
      <c r="N203" s="191"/>
      <c r="O203" s="191"/>
      <c r="P203" s="191"/>
      <c r="Q203" s="191"/>
      <c r="R203" s="191"/>
      <c r="S203" s="191"/>
      <c r="T203" s="191"/>
      <c r="U203" s="191"/>
      <c r="V203" s="191"/>
      <c r="W203" s="191"/>
      <c r="X203" s="191"/>
      <c r="Y203" s="191"/>
      <c r="Z203" s="190"/>
      <c r="AA203" s="15" t="str">
        <f t="shared" si="89"/>
        <v>Trauma</v>
      </c>
      <c r="AB203" s="370"/>
      <c r="AC203" s="190"/>
      <c r="AD203" s="395"/>
    </row>
    <row r="204" spans="2:30" s="55" customFormat="1" ht="25" customHeight="1" x14ac:dyDescent="0.2">
      <c r="B204" s="95" t="str">
        <f>IF(Admin!S11=0,"",Admin!S11)</f>
        <v>Enter Custom Heading 1</v>
      </c>
      <c r="C204" s="370"/>
      <c r="D204" s="191"/>
      <c r="E204" s="191"/>
      <c r="F204" s="191"/>
      <c r="G204" s="191"/>
      <c r="H204" s="191"/>
      <c r="I204" s="191"/>
      <c r="J204" s="191"/>
      <c r="K204" s="191"/>
      <c r="L204" s="191"/>
      <c r="M204" s="191"/>
      <c r="N204" s="191"/>
      <c r="O204" s="191"/>
      <c r="P204" s="191"/>
      <c r="Q204" s="191"/>
      <c r="R204" s="191"/>
      <c r="S204" s="191"/>
      <c r="T204" s="191"/>
      <c r="U204" s="191"/>
      <c r="V204" s="191"/>
      <c r="W204" s="191"/>
      <c r="X204" s="191"/>
      <c r="Y204" s="191"/>
      <c r="Z204" s="190"/>
      <c r="AA204" s="15" t="str">
        <f t="shared" ref="AA204:AA214" si="90">$B204</f>
        <v>Enter Custom Heading 1</v>
      </c>
      <c r="AB204" s="370"/>
      <c r="AC204" s="190"/>
      <c r="AD204" s="395"/>
    </row>
    <row r="205" spans="2:30" s="55" customFormat="1" ht="25" customHeight="1" x14ac:dyDescent="0.2">
      <c r="B205" s="95" t="str">
        <f>IF(Admin!S13=0,"",Admin!S13)</f>
        <v>Enter Custom Heading 2</v>
      </c>
      <c r="C205" s="370"/>
      <c r="D205" s="191"/>
      <c r="E205" s="191"/>
      <c r="F205" s="191"/>
      <c r="G205" s="191"/>
      <c r="H205" s="191"/>
      <c r="I205" s="191"/>
      <c r="J205" s="191"/>
      <c r="K205" s="191"/>
      <c r="L205" s="191"/>
      <c r="M205" s="191"/>
      <c r="N205" s="191"/>
      <c r="O205" s="191"/>
      <c r="P205" s="191"/>
      <c r="Q205" s="191"/>
      <c r="R205" s="191"/>
      <c r="S205" s="191"/>
      <c r="T205" s="191"/>
      <c r="U205" s="191"/>
      <c r="V205" s="191"/>
      <c r="W205" s="191"/>
      <c r="X205" s="191"/>
      <c r="Y205" s="191"/>
      <c r="Z205" s="190"/>
      <c r="AA205" s="15" t="str">
        <f t="shared" si="90"/>
        <v>Enter Custom Heading 2</v>
      </c>
      <c r="AB205" s="370"/>
      <c r="AC205" s="190"/>
      <c r="AD205" s="395"/>
    </row>
    <row r="206" spans="2:30" s="55" customFormat="1" ht="25" customHeight="1" x14ac:dyDescent="0.2">
      <c r="B206" s="95" t="str">
        <f>IF(Admin!S15=0,"",Admin!S15)</f>
        <v>Enter Custom Heading 3</v>
      </c>
      <c r="C206" s="370"/>
      <c r="D206" s="191"/>
      <c r="E206" s="191"/>
      <c r="F206" s="191"/>
      <c r="G206" s="191"/>
      <c r="H206" s="191"/>
      <c r="I206" s="191"/>
      <c r="J206" s="191"/>
      <c r="K206" s="191"/>
      <c r="L206" s="191"/>
      <c r="M206" s="191"/>
      <c r="N206" s="191"/>
      <c r="O206" s="191"/>
      <c r="P206" s="191"/>
      <c r="Q206" s="191"/>
      <c r="R206" s="191"/>
      <c r="S206" s="191"/>
      <c r="T206" s="191"/>
      <c r="U206" s="191"/>
      <c r="V206" s="191"/>
      <c r="W206" s="191"/>
      <c r="X206" s="191"/>
      <c r="Y206" s="191"/>
      <c r="Z206" s="190"/>
      <c r="AA206" s="15" t="str">
        <f t="shared" si="90"/>
        <v>Enter Custom Heading 3</v>
      </c>
      <c r="AB206" s="370"/>
      <c r="AC206" s="190"/>
      <c r="AD206" s="395"/>
    </row>
    <row r="207" spans="2:30" s="55" customFormat="1" ht="25" customHeight="1" x14ac:dyDescent="0.2">
      <c r="B207" s="95" t="str">
        <f>IF(Admin!S17=0,"",Admin!S17)</f>
        <v>Enter Custom Heading 4</v>
      </c>
      <c r="C207" s="370"/>
      <c r="D207" s="191"/>
      <c r="E207" s="191"/>
      <c r="F207" s="191"/>
      <c r="G207" s="191"/>
      <c r="H207" s="191"/>
      <c r="I207" s="191"/>
      <c r="J207" s="191"/>
      <c r="K207" s="191"/>
      <c r="L207" s="191"/>
      <c r="M207" s="191"/>
      <c r="N207" s="191"/>
      <c r="O207" s="191"/>
      <c r="P207" s="191"/>
      <c r="Q207" s="191"/>
      <c r="R207" s="191"/>
      <c r="S207" s="191"/>
      <c r="T207" s="191"/>
      <c r="U207" s="191"/>
      <c r="V207" s="191"/>
      <c r="W207" s="191"/>
      <c r="X207" s="191"/>
      <c r="Y207" s="191"/>
      <c r="Z207" s="190"/>
      <c r="AA207" s="15" t="str">
        <f t="shared" si="90"/>
        <v>Enter Custom Heading 4</v>
      </c>
      <c r="AB207" s="370"/>
      <c r="AC207" s="190"/>
      <c r="AD207" s="395"/>
    </row>
    <row r="208" spans="2:30" s="55" customFormat="1" ht="25" customHeight="1" x14ac:dyDescent="0.2">
      <c r="B208" s="95" t="str">
        <f>IF(Admin!S19=0,"",Admin!S19)</f>
        <v>Enter Custom Heading 5</v>
      </c>
      <c r="C208" s="370"/>
      <c r="D208" s="191"/>
      <c r="E208" s="191"/>
      <c r="F208" s="191"/>
      <c r="G208" s="191"/>
      <c r="H208" s="191"/>
      <c r="I208" s="191"/>
      <c r="J208" s="191"/>
      <c r="K208" s="191"/>
      <c r="L208" s="191"/>
      <c r="M208" s="191"/>
      <c r="N208" s="191"/>
      <c r="O208" s="191"/>
      <c r="P208" s="191"/>
      <c r="Q208" s="191"/>
      <c r="R208" s="191"/>
      <c r="S208" s="191"/>
      <c r="T208" s="191"/>
      <c r="U208" s="191"/>
      <c r="V208" s="191"/>
      <c r="W208" s="191"/>
      <c r="X208" s="191"/>
      <c r="Y208" s="191"/>
      <c r="Z208" s="190"/>
      <c r="AA208" s="15" t="str">
        <f t="shared" si="90"/>
        <v>Enter Custom Heading 5</v>
      </c>
      <c r="AB208" s="370"/>
      <c r="AC208" s="190"/>
      <c r="AD208" s="395"/>
    </row>
    <row r="209" spans="2:30" s="55" customFormat="1" ht="25" customHeight="1" x14ac:dyDescent="0.2">
      <c r="B209" s="95" t="str">
        <f>IF(Admin!S21=0,"",Admin!S21)</f>
        <v>Enter Custom Heading 6</v>
      </c>
      <c r="C209" s="370"/>
      <c r="D209" s="191"/>
      <c r="E209" s="191"/>
      <c r="F209" s="191"/>
      <c r="G209" s="191"/>
      <c r="H209" s="191"/>
      <c r="I209" s="191"/>
      <c r="J209" s="191"/>
      <c r="K209" s="191"/>
      <c r="L209" s="191"/>
      <c r="M209" s="191"/>
      <c r="N209" s="191"/>
      <c r="O209" s="191"/>
      <c r="P209" s="191"/>
      <c r="Q209" s="191"/>
      <c r="R209" s="191"/>
      <c r="S209" s="191"/>
      <c r="T209" s="191"/>
      <c r="U209" s="191"/>
      <c r="V209" s="191"/>
      <c r="W209" s="191"/>
      <c r="X209" s="191"/>
      <c r="Y209" s="191"/>
      <c r="Z209" s="190"/>
      <c r="AA209" s="15" t="str">
        <f t="shared" si="90"/>
        <v>Enter Custom Heading 6</v>
      </c>
      <c r="AB209" s="370"/>
      <c r="AC209" s="190"/>
      <c r="AD209" s="395"/>
    </row>
    <row r="210" spans="2:30" s="55" customFormat="1" ht="25" customHeight="1" x14ac:dyDescent="0.2">
      <c r="B210" s="95" t="str">
        <f>IF(Admin!S23=0,"",Admin!S23)</f>
        <v>Enter Custom Heading 7</v>
      </c>
      <c r="C210" s="370"/>
      <c r="D210" s="191"/>
      <c r="E210" s="191"/>
      <c r="F210" s="191"/>
      <c r="G210" s="191"/>
      <c r="H210" s="191"/>
      <c r="I210" s="191"/>
      <c r="J210" s="191"/>
      <c r="K210" s="191"/>
      <c r="L210" s="191"/>
      <c r="M210" s="191"/>
      <c r="N210" s="191"/>
      <c r="O210" s="191"/>
      <c r="P210" s="191"/>
      <c r="Q210" s="191"/>
      <c r="R210" s="191"/>
      <c r="S210" s="191"/>
      <c r="T210" s="191"/>
      <c r="U210" s="191"/>
      <c r="V210" s="191"/>
      <c r="W210" s="191"/>
      <c r="X210" s="191"/>
      <c r="Y210" s="191"/>
      <c r="Z210" s="190"/>
      <c r="AA210" s="15" t="str">
        <f>$B210</f>
        <v>Enter Custom Heading 7</v>
      </c>
      <c r="AB210" s="370"/>
      <c r="AC210" s="190"/>
      <c r="AD210" s="395"/>
    </row>
    <row r="211" spans="2:30" s="55" customFormat="1" ht="25" customHeight="1" x14ac:dyDescent="0.2">
      <c r="B211" s="95" t="str">
        <f>IF(Admin!S25=0,"",Admin!S25)</f>
        <v>Enter Custom Heading 8</v>
      </c>
      <c r="C211" s="370"/>
      <c r="D211" s="191"/>
      <c r="E211" s="191"/>
      <c r="F211" s="191"/>
      <c r="G211" s="191"/>
      <c r="H211" s="191"/>
      <c r="I211" s="191"/>
      <c r="J211" s="191"/>
      <c r="K211" s="191"/>
      <c r="L211" s="191"/>
      <c r="M211" s="191"/>
      <c r="N211" s="191"/>
      <c r="O211" s="191"/>
      <c r="P211" s="191"/>
      <c r="Q211" s="191"/>
      <c r="R211" s="191"/>
      <c r="S211" s="191"/>
      <c r="T211" s="191"/>
      <c r="U211" s="191"/>
      <c r="V211" s="191"/>
      <c r="W211" s="191"/>
      <c r="X211" s="191"/>
      <c r="Y211" s="191"/>
      <c r="Z211" s="190"/>
      <c r="AA211" s="15" t="str">
        <f t="shared" si="90"/>
        <v>Enter Custom Heading 8</v>
      </c>
      <c r="AB211" s="370"/>
      <c r="AC211" s="190"/>
      <c r="AD211" s="395"/>
    </row>
    <row r="212" spans="2:30" s="55" customFormat="1" ht="25" customHeight="1" x14ac:dyDescent="0.2">
      <c r="B212" s="415" t="s">
        <v>452</v>
      </c>
      <c r="C212" s="370"/>
      <c r="D212" s="191"/>
      <c r="E212" s="191"/>
      <c r="F212" s="191"/>
      <c r="G212" s="191"/>
      <c r="H212" s="191"/>
      <c r="I212" s="191"/>
      <c r="J212" s="191"/>
      <c r="K212" s="191"/>
      <c r="L212" s="191"/>
      <c r="M212" s="191"/>
      <c r="N212" s="191"/>
      <c r="O212" s="191"/>
      <c r="P212" s="191"/>
      <c r="Q212" s="191"/>
      <c r="R212" s="191"/>
      <c r="S212" s="191"/>
      <c r="T212" s="191"/>
      <c r="U212" s="191"/>
      <c r="V212" s="191"/>
      <c r="W212" s="191"/>
      <c r="X212" s="191"/>
      <c r="Y212" s="191"/>
      <c r="Z212" s="190"/>
      <c r="AA212" s="15" t="str">
        <f t="shared" si="90"/>
        <v>-----------------------------</v>
      </c>
      <c r="AB212" s="370"/>
      <c r="AC212" s="190"/>
      <c r="AD212" s="395"/>
    </row>
    <row r="213" spans="2:30" s="55" customFormat="1" ht="25" customHeight="1" x14ac:dyDescent="0.2">
      <c r="B213" s="415" t="s">
        <v>453</v>
      </c>
      <c r="C213" s="370"/>
      <c r="D213" s="191"/>
      <c r="E213" s="191"/>
      <c r="F213" s="191"/>
      <c r="G213" s="191"/>
      <c r="H213" s="191"/>
      <c r="I213" s="191"/>
      <c r="J213" s="191"/>
      <c r="K213" s="191"/>
      <c r="L213" s="191"/>
      <c r="M213" s="191"/>
      <c r="N213" s="191"/>
      <c r="O213" s="191"/>
      <c r="P213" s="191"/>
      <c r="Q213" s="191"/>
      <c r="R213" s="191"/>
      <c r="S213" s="191"/>
      <c r="T213" s="191"/>
      <c r="U213" s="191"/>
      <c r="V213" s="191"/>
      <c r="W213" s="191"/>
      <c r="X213" s="191"/>
      <c r="Y213" s="191"/>
      <c r="Z213" s="190"/>
      <c r="AA213" s="15" t="str">
        <f t="shared" si="90"/>
        <v>------------------------------</v>
      </c>
      <c r="AB213" s="370"/>
      <c r="AC213" s="190"/>
      <c r="AD213" s="395"/>
    </row>
    <row r="214" spans="2:30" s="55" customFormat="1" ht="25" customHeight="1" thickBot="1" x14ac:dyDescent="0.25">
      <c r="B214" s="26"/>
      <c r="C214" s="381"/>
      <c r="D214" s="193"/>
      <c r="E214" s="193"/>
      <c r="F214" s="193"/>
      <c r="G214" s="193"/>
      <c r="H214" s="193"/>
      <c r="I214" s="193"/>
      <c r="J214" s="193"/>
      <c r="K214" s="193"/>
      <c r="L214" s="193"/>
      <c r="M214" s="193"/>
      <c r="N214" s="193"/>
      <c r="O214" s="193"/>
      <c r="P214" s="193"/>
      <c r="Q214" s="193"/>
      <c r="R214" s="193"/>
      <c r="S214" s="193"/>
      <c r="T214" s="193"/>
      <c r="U214" s="193"/>
      <c r="V214" s="193"/>
      <c r="W214" s="193"/>
      <c r="X214" s="193"/>
      <c r="Y214" s="193"/>
      <c r="Z214" s="192"/>
      <c r="AA214" s="155">
        <f t="shared" si="90"/>
        <v>0</v>
      </c>
      <c r="AB214" s="381"/>
      <c r="AC214" s="192"/>
      <c r="AD214" s="398"/>
    </row>
    <row r="215" spans="2:30" s="55" customFormat="1" ht="25" customHeight="1" thickBot="1" x14ac:dyDescent="0.25"/>
    <row r="216" spans="2:30" ht="50" customHeight="1" thickBot="1" x14ac:dyDescent="0.25">
      <c r="B216" s="307" t="s">
        <v>402</v>
      </c>
      <c r="C216" s="306"/>
      <c r="D216" s="306"/>
      <c r="E216" s="306"/>
      <c r="F216" s="306"/>
      <c r="G216" s="306"/>
      <c r="H216" s="306"/>
      <c r="I216" s="306"/>
      <c r="J216" s="306"/>
      <c r="K216" s="306"/>
      <c r="L216" s="306"/>
      <c r="M216" s="306"/>
      <c r="N216" s="306"/>
      <c r="O216" s="306"/>
      <c r="P216" s="306"/>
      <c r="Q216" s="306"/>
      <c r="R216" s="306"/>
      <c r="S216" s="306"/>
      <c r="T216" s="306"/>
      <c r="U216" s="306"/>
      <c r="V216" s="306"/>
      <c r="W216" s="306"/>
      <c r="X216" s="306"/>
      <c r="Y216" s="306"/>
      <c r="Z216" s="304"/>
      <c r="AA216" s="413" t="s">
        <v>402</v>
      </c>
      <c r="AB216" s="304"/>
      <c r="AC216" s="304"/>
      <c r="AD216" s="305"/>
    </row>
    <row r="217" spans="2:30" s="55" customFormat="1" ht="25" customHeight="1" x14ac:dyDescent="0.2">
      <c r="B217" s="330" t="str">
        <f>IF(Admin!S31=0,"",Admin!S31)</f>
        <v>Operator</v>
      </c>
      <c r="C217" s="393"/>
      <c r="D217" s="393"/>
      <c r="E217" s="393"/>
      <c r="F217" s="393"/>
      <c r="G217" s="393"/>
      <c r="H217" s="393"/>
      <c r="I217" s="393"/>
      <c r="J217" s="393"/>
      <c r="K217" s="393"/>
      <c r="L217" s="393"/>
      <c r="M217" s="393"/>
      <c r="N217" s="393"/>
      <c r="O217" s="393"/>
      <c r="P217" s="393"/>
      <c r="Q217" s="393"/>
      <c r="R217" s="393"/>
      <c r="S217" s="393"/>
      <c r="T217" s="393"/>
      <c r="U217" s="393"/>
      <c r="V217" s="393"/>
      <c r="W217" s="393"/>
      <c r="X217" s="393"/>
      <c r="Y217" s="393"/>
      <c r="Z217" s="394"/>
      <c r="AA217" s="16" t="str">
        <f>IF(Admin!W31=0,"",Admin!W31)</f>
        <v>Number</v>
      </c>
      <c r="AB217" s="16">
        <v>0</v>
      </c>
      <c r="AC217" s="16" t="s">
        <v>429</v>
      </c>
      <c r="AD217" s="234">
        <v>0</v>
      </c>
    </row>
    <row r="218" spans="2:30" s="55" customFormat="1" ht="25" customHeight="1" x14ac:dyDescent="0.2">
      <c r="B218" s="331" t="str">
        <f>IF(Admin!S33=0,"",Admin!S33)</f>
        <v>Blood Bank</v>
      </c>
      <c r="C218" s="191"/>
      <c r="D218" s="191"/>
      <c r="E218" s="191"/>
      <c r="F218" s="191"/>
      <c r="G218" s="191"/>
      <c r="H218" s="191"/>
      <c r="I218" s="191"/>
      <c r="J218" s="191"/>
      <c r="K218" s="191"/>
      <c r="L218" s="191"/>
      <c r="M218" s="191"/>
      <c r="N218" s="191"/>
      <c r="O218" s="191"/>
      <c r="P218" s="191"/>
      <c r="Q218" s="191"/>
      <c r="R218" s="191"/>
      <c r="S218" s="191"/>
      <c r="T218" s="191"/>
      <c r="U218" s="191"/>
      <c r="V218" s="191"/>
      <c r="W218" s="191"/>
      <c r="X218" s="191"/>
      <c r="Y218" s="191"/>
      <c r="Z218" s="190"/>
      <c r="AA218" s="18" t="str">
        <f>IF(Admin!W33=0,"",Admin!W33)</f>
        <v>Number</v>
      </c>
      <c r="AB218" s="18">
        <v>0</v>
      </c>
      <c r="AC218" s="18" t="s">
        <v>429</v>
      </c>
      <c r="AD218" s="19">
        <v>0</v>
      </c>
    </row>
    <row r="219" spans="2:30" s="55" customFormat="1" ht="25" customHeight="1" x14ac:dyDescent="0.2">
      <c r="B219" s="331" t="str">
        <f>IF(Admin!S35=0,"",Admin!S35)</f>
        <v>Anaesthetics</v>
      </c>
      <c r="C219" s="191"/>
      <c r="D219" s="191"/>
      <c r="E219" s="191"/>
      <c r="F219" s="191"/>
      <c r="G219" s="191"/>
      <c r="H219" s="191"/>
      <c r="I219" s="191"/>
      <c r="J219" s="191"/>
      <c r="K219" s="191"/>
      <c r="L219" s="191"/>
      <c r="M219" s="191"/>
      <c r="N219" s="191"/>
      <c r="O219" s="191"/>
      <c r="P219" s="191"/>
      <c r="Q219" s="191"/>
      <c r="R219" s="191"/>
      <c r="S219" s="191"/>
      <c r="T219" s="191"/>
      <c r="U219" s="191"/>
      <c r="V219" s="191"/>
      <c r="W219" s="191"/>
      <c r="X219" s="191"/>
      <c r="Y219" s="191"/>
      <c r="Z219" s="190"/>
      <c r="AA219" s="18" t="str">
        <f>IF(Admin!W35=0,"",Admin!W35)</f>
        <v>Number</v>
      </c>
      <c r="AB219" s="18">
        <v>0</v>
      </c>
      <c r="AC219" s="18" t="s">
        <v>429</v>
      </c>
      <c r="AD219" s="19">
        <v>0</v>
      </c>
    </row>
    <row r="220" spans="2:30" s="55" customFormat="1" ht="25" customHeight="1" x14ac:dyDescent="0.2">
      <c r="B220" s="331" t="str">
        <f>IF(Admin!S37=0,"",Admin!S37)</f>
        <v>ORL/ENT</v>
      </c>
      <c r="C220" s="191"/>
      <c r="D220" s="191"/>
      <c r="E220" s="191"/>
      <c r="F220" s="191"/>
      <c r="G220" s="191"/>
      <c r="H220" s="191"/>
      <c r="I220" s="191"/>
      <c r="J220" s="191"/>
      <c r="K220" s="191"/>
      <c r="L220" s="191"/>
      <c r="M220" s="191"/>
      <c r="N220" s="191"/>
      <c r="O220" s="191"/>
      <c r="P220" s="191"/>
      <c r="Q220" s="191"/>
      <c r="R220" s="191"/>
      <c r="S220" s="191"/>
      <c r="T220" s="191"/>
      <c r="U220" s="191"/>
      <c r="V220" s="191"/>
      <c r="W220" s="191"/>
      <c r="X220" s="191"/>
      <c r="Y220" s="191"/>
      <c r="Z220" s="190"/>
      <c r="AA220" s="18" t="str">
        <f>IF(Admin!W37=0,"",Admin!W37)</f>
        <v>Number</v>
      </c>
      <c r="AB220" s="18">
        <v>0</v>
      </c>
      <c r="AC220" s="18" t="s">
        <v>429</v>
      </c>
      <c r="AD220" s="19">
        <v>0</v>
      </c>
    </row>
    <row r="221" spans="2:30" s="55" customFormat="1" ht="25" customHeight="1" x14ac:dyDescent="0.2">
      <c r="B221" s="331" t="str">
        <f>IF(Admin!S39=0,"",Admin!S39)</f>
        <v>ICU</v>
      </c>
      <c r="C221" s="191"/>
      <c r="D221" s="191"/>
      <c r="E221" s="191"/>
      <c r="F221" s="191"/>
      <c r="G221" s="191"/>
      <c r="H221" s="191"/>
      <c r="I221" s="191"/>
      <c r="J221" s="191"/>
      <c r="K221" s="191"/>
      <c r="L221" s="191"/>
      <c r="M221" s="191"/>
      <c r="N221" s="191"/>
      <c r="O221" s="191"/>
      <c r="P221" s="191"/>
      <c r="Q221" s="191"/>
      <c r="R221" s="191"/>
      <c r="S221" s="191"/>
      <c r="T221" s="191"/>
      <c r="U221" s="191"/>
      <c r="V221" s="191"/>
      <c r="W221" s="191"/>
      <c r="X221" s="191"/>
      <c r="Y221" s="191"/>
      <c r="Z221" s="190"/>
      <c r="AA221" s="18" t="str">
        <f>IF(Admin!W39=0,"",Admin!W39)</f>
        <v>Number</v>
      </c>
      <c r="AB221" s="18">
        <v>0</v>
      </c>
      <c r="AC221" s="18" t="s">
        <v>429</v>
      </c>
      <c r="AD221" s="19">
        <v>0</v>
      </c>
    </row>
    <row r="222" spans="2:30" s="55" customFormat="1" ht="25" customHeight="1" x14ac:dyDescent="0.2">
      <c r="B222" s="331" t="str">
        <f>IF(Admin!S41=0,"",Admin!S41)</f>
        <v>NICU</v>
      </c>
      <c r="C222" s="191"/>
      <c r="D222" s="191"/>
      <c r="E222" s="191"/>
      <c r="F222" s="191"/>
      <c r="G222" s="191"/>
      <c r="H222" s="191"/>
      <c r="I222" s="191"/>
      <c r="J222" s="191"/>
      <c r="K222" s="191"/>
      <c r="L222" s="191"/>
      <c r="M222" s="191"/>
      <c r="N222" s="191"/>
      <c r="O222" s="191"/>
      <c r="P222" s="191"/>
      <c r="Q222" s="191"/>
      <c r="R222" s="191"/>
      <c r="S222" s="191"/>
      <c r="T222" s="191"/>
      <c r="U222" s="191"/>
      <c r="V222" s="191"/>
      <c r="W222" s="191"/>
      <c r="X222" s="191"/>
      <c r="Y222" s="191"/>
      <c r="Z222" s="190"/>
      <c r="AA222" s="18" t="str">
        <f>IF(Admin!W41=0,"",Admin!W41)</f>
        <v>Number</v>
      </c>
      <c r="AB222" s="18">
        <v>0</v>
      </c>
      <c r="AC222" s="18" t="s">
        <v>429</v>
      </c>
      <c r="AD222" s="19">
        <v>0</v>
      </c>
    </row>
    <row r="223" spans="2:30" s="55" customFormat="1" ht="25" customHeight="1" x14ac:dyDescent="0.2">
      <c r="B223" s="331" t="str">
        <f>IF(Admin!S43=0,"",Admin!S43)</f>
        <v>Paediatrics</v>
      </c>
      <c r="C223" s="191"/>
      <c r="D223" s="191"/>
      <c r="E223" s="191"/>
      <c r="F223" s="191"/>
      <c r="G223" s="191"/>
      <c r="H223" s="191"/>
      <c r="I223" s="191"/>
      <c r="J223" s="191"/>
      <c r="K223" s="191"/>
      <c r="L223" s="191"/>
      <c r="M223" s="191"/>
      <c r="N223" s="191"/>
      <c r="O223" s="191"/>
      <c r="P223" s="191"/>
      <c r="Q223" s="191"/>
      <c r="R223" s="191"/>
      <c r="S223" s="191"/>
      <c r="T223" s="191"/>
      <c r="U223" s="191"/>
      <c r="V223" s="191"/>
      <c r="W223" s="191"/>
      <c r="X223" s="191"/>
      <c r="Y223" s="191"/>
      <c r="Z223" s="190"/>
      <c r="AA223" s="18" t="str">
        <f>IF(Admin!W43=0,"",Admin!W43)</f>
        <v>Number</v>
      </c>
      <c r="AB223" s="18">
        <v>0</v>
      </c>
      <c r="AC223" s="18" t="s">
        <v>429</v>
      </c>
      <c r="AD223" s="19">
        <v>0</v>
      </c>
    </row>
    <row r="224" spans="2:30" s="55" customFormat="1" ht="25" customHeight="1" x14ac:dyDescent="0.2">
      <c r="B224" s="331" t="str">
        <f>IF(Admin!S45=0,"",Admin!S45)</f>
        <v>ED SMO</v>
      </c>
      <c r="C224" s="191"/>
      <c r="D224" s="191"/>
      <c r="E224" s="191"/>
      <c r="F224" s="191"/>
      <c r="G224" s="191"/>
      <c r="H224" s="191"/>
      <c r="I224" s="191"/>
      <c r="J224" s="191"/>
      <c r="K224" s="191"/>
      <c r="L224" s="191"/>
      <c r="M224" s="191"/>
      <c r="N224" s="191"/>
      <c r="O224" s="191"/>
      <c r="P224" s="191"/>
      <c r="Q224" s="191"/>
      <c r="R224" s="191"/>
      <c r="S224" s="191"/>
      <c r="T224" s="191"/>
      <c r="U224" s="191"/>
      <c r="V224" s="191"/>
      <c r="W224" s="191"/>
      <c r="X224" s="191"/>
      <c r="Y224" s="191"/>
      <c r="Z224" s="190"/>
      <c r="AA224" s="18" t="str">
        <f>IF(Admin!W45=0,"",Admin!W45)</f>
        <v>Number</v>
      </c>
      <c r="AB224" s="18">
        <v>0</v>
      </c>
      <c r="AC224" s="18" t="s">
        <v>429</v>
      </c>
      <c r="AD224" s="19">
        <v>0</v>
      </c>
    </row>
    <row r="225" spans="2:30" s="55" customFormat="1" ht="25" customHeight="1" x14ac:dyDescent="0.2">
      <c r="B225" s="331" t="str">
        <f>IF(Admin!S47=0,"",Admin!S47)</f>
        <v>Surgeon</v>
      </c>
      <c r="C225" s="191"/>
      <c r="D225" s="191"/>
      <c r="E225" s="191"/>
      <c r="F225" s="191"/>
      <c r="G225" s="191"/>
      <c r="H225" s="191"/>
      <c r="I225" s="191"/>
      <c r="J225" s="191"/>
      <c r="K225" s="191"/>
      <c r="L225" s="191"/>
      <c r="M225" s="191"/>
      <c r="N225" s="191"/>
      <c r="O225" s="191"/>
      <c r="P225" s="191"/>
      <c r="Q225" s="191"/>
      <c r="R225" s="191"/>
      <c r="S225" s="191"/>
      <c r="T225" s="191"/>
      <c r="U225" s="191"/>
      <c r="V225" s="191"/>
      <c r="W225" s="191"/>
      <c r="X225" s="191"/>
      <c r="Y225" s="191"/>
      <c r="Z225" s="190"/>
      <c r="AA225" s="18" t="str">
        <f>IF(Admin!W47=0,"",Admin!W47)</f>
        <v>Number</v>
      </c>
      <c r="AB225" s="18">
        <v>0</v>
      </c>
      <c r="AC225" s="18" t="s">
        <v>429</v>
      </c>
      <c r="AD225" s="19">
        <v>0</v>
      </c>
    </row>
    <row r="226" spans="2:30" s="55" customFormat="1" ht="25" customHeight="1" x14ac:dyDescent="0.2">
      <c r="B226" s="331" t="str">
        <f>IF(Admin!S49=0,"",Admin!S49)</f>
        <v>Custom Phone 1</v>
      </c>
      <c r="C226" s="191"/>
      <c r="D226" s="191"/>
      <c r="E226" s="191"/>
      <c r="F226" s="191"/>
      <c r="G226" s="191"/>
      <c r="H226" s="191"/>
      <c r="I226" s="191"/>
      <c r="J226" s="191"/>
      <c r="K226" s="191"/>
      <c r="L226" s="191"/>
      <c r="M226" s="191"/>
      <c r="N226" s="191"/>
      <c r="O226" s="191"/>
      <c r="P226" s="191"/>
      <c r="Q226" s="191"/>
      <c r="R226" s="191"/>
      <c r="S226" s="191"/>
      <c r="T226" s="191"/>
      <c r="U226" s="191"/>
      <c r="V226" s="191"/>
      <c r="W226" s="191"/>
      <c r="X226" s="191"/>
      <c r="Y226" s="191"/>
      <c r="Z226" s="190"/>
      <c r="AA226" s="18" t="str">
        <f>IF(Admin!W49=0,"",Admin!W49)</f>
        <v>Number</v>
      </c>
      <c r="AB226" s="18">
        <v>0</v>
      </c>
      <c r="AC226" s="18" t="s">
        <v>429</v>
      </c>
      <c r="AD226" s="19">
        <v>0</v>
      </c>
    </row>
    <row r="227" spans="2:30" s="55" customFormat="1" ht="25" customHeight="1" x14ac:dyDescent="0.2">
      <c r="B227" s="331" t="str">
        <f>IF(Admin!S51=0,"",Admin!S51)</f>
        <v>Custom Phone 2</v>
      </c>
      <c r="C227" s="191"/>
      <c r="D227" s="191"/>
      <c r="E227" s="191"/>
      <c r="F227" s="191"/>
      <c r="G227" s="191"/>
      <c r="H227" s="191"/>
      <c r="I227" s="191"/>
      <c r="J227" s="191"/>
      <c r="K227" s="191"/>
      <c r="L227" s="191"/>
      <c r="M227" s="191"/>
      <c r="N227" s="191"/>
      <c r="O227" s="191"/>
      <c r="P227" s="191"/>
      <c r="Q227" s="191"/>
      <c r="R227" s="191"/>
      <c r="S227" s="191"/>
      <c r="T227" s="191"/>
      <c r="U227" s="191"/>
      <c r="V227" s="191"/>
      <c r="W227" s="191"/>
      <c r="X227" s="191"/>
      <c r="Y227" s="191"/>
      <c r="Z227" s="190"/>
      <c r="AA227" s="18" t="str">
        <f>IF(Admin!W51=0,"",Admin!W51)</f>
        <v>Number</v>
      </c>
      <c r="AB227" s="18">
        <v>0</v>
      </c>
      <c r="AC227" s="18" t="s">
        <v>429</v>
      </c>
      <c r="AD227" s="19">
        <v>0</v>
      </c>
    </row>
    <row r="228" spans="2:30" s="55" customFormat="1" ht="25" customHeight="1" x14ac:dyDescent="0.2">
      <c r="B228" s="331" t="str">
        <f>IF(Admin!S53=0,"",Admin!S53)</f>
        <v>Custom Phone 3</v>
      </c>
      <c r="C228" s="191"/>
      <c r="D228" s="191"/>
      <c r="E228" s="191"/>
      <c r="F228" s="191"/>
      <c r="G228" s="191"/>
      <c r="H228" s="191"/>
      <c r="I228" s="191"/>
      <c r="J228" s="191"/>
      <c r="K228" s="191"/>
      <c r="L228" s="191"/>
      <c r="M228" s="191"/>
      <c r="N228" s="191"/>
      <c r="O228" s="191"/>
      <c r="P228" s="191"/>
      <c r="Q228" s="191"/>
      <c r="R228" s="191"/>
      <c r="S228" s="191"/>
      <c r="T228" s="191"/>
      <c r="U228" s="191"/>
      <c r="V228" s="191"/>
      <c r="W228" s="191"/>
      <c r="X228" s="191"/>
      <c r="Y228" s="191"/>
      <c r="Z228" s="190"/>
      <c r="AA228" s="18" t="str">
        <f>IF(Admin!W53=0,"",Admin!W53)</f>
        <v>Number</v>
      </c>
      <c r="AB228" s="18">
        <v>0</v>
      </c>
      <c r="AC228" s="18" t="s">
        <v>429</v>
      </c>
      <c r="AD228" s="19">
        <v>0</v>
      </c>
    </row>
    <row r="229" spans="2:30" s="55" customFormat="1" ht="25" customHeight="1" thickBot="1" x14ac:dyDescent="0.25">
      <c r="B229" s="332" t="str">
        <f>IF(Admin!S55=0,"",Admin!S55)</f>
        <v>Custom Phone 4</v>
      </c>
      <c r="C229" s="378"/>
      <c r="D229" s="378"/>
      <c r="E229" s="378"/>
      <c r="F229" s="378"/>
      <c r="G229" s="378"/>
      <c r="H229" s="378"/>
      <c r="I229" s="378"/>
      <c r="J229" s="378"/>
      <c r="K229" s="378"/>
      <c r="L229" s="378"/>
      <c r="M229" s="378"/>
      <c r="N229" s="378"/>
      <c r="O229" s="378"/>
      <c r="P229" s="378"/>
      <c r="Q229" s="378"/>
      <c r="R229" s="378"/>
      <c r="S229" s="378"/>
      <c r="T229" s="378"/>
      <c r="U229" s="378"/>
      <c r="V229" s="378"/>
      <c r="W229" s="378"/>
      <c r="X229" s="378"/>
      <c r="Y229" s="378"/>
      <c r="Z229" s="379"/>
      <c r="AA229" s="22" t="str">
        <f>IF(Admin!W55=0,"",Admin!W55)</f>
        <v>Number</v>
      </c>
      <c r="AB229" s="22">
        <v>0</v>
      </c>
      <c r="AC229" s="22" t="s">
        <v>429</v>
      </c>
      <c r="AD229" s="21">
        <v>0</v>
      </c>
    </row>
    <row r="230" spans="2:30" ht="20" customHeight="1" x14ac:dyDescent="0.2">
      <c r="B230" s="333"/>
      <c r="C230" s="333"/>
      <c r="D230" s="333"/>
      <c r="E230" s="333"/>
      <c r="F230" s="333"/>
      <c r="G230" s="333"/>
      <c r="H230" s="333"/>
      <c r="I230" s="333"/>
      <c r="J230" s="333"/>
      <c r="K230" s="333"/>
      <c r="L230" s="333"/>
      <c r="M230" s="333"/>
      <c r="N230" s="333"/>
      <c r="O230" s="333"/>
      <c r="P230" s="333"/>
      <c r="Q230" s="333"/>
      <c r="R230" s="333"/>
      <c r="S230" s="333"/>
      <c r="T230" s="333"/>
      <c r="U230" s="333"/>
      <c r="V230" s="333"/>
      <c r="W230" s="333"/>
      <c r="X230" s="333"/>
      <c r="Y230" s="333"/>
      <c r="Z230" s="333"/>
      <c r="AA230" s="333"/>
      <c r="AB230" s="333"/>
      <c r="AC230" s="333"/>
      <c r="AD230" s="333"/>
    </row>
    <row r="231" spans="2:30" ht="20" customHeight="1" x14ac:dyDescent="0.2">
      <c r="B231" s="334"/>
      <c r="C231" s="334"/>
      <c r="D231" s="334"/>
      <c r="E231" s="334"/>
      <c r="F231" s="334"/>
      <c r="G231" s="334"/>
      <c r="H231" s="334"/>
      <c r="I231" s="334"/>
      <c r="J231" s="334"/>
      <c r="K231" s="334"/>
      <c r="L231" s="334"/>
      <c r="M231" s="334"/>
      <c r="N231" s="334"/>
      <c r="O231" s="334"/>
      <c r="P231" s="334"/>
      <c r="Q231" s="334"/>
      <c r="R231" s="334"/>
      <c r="S231" s="334"/>
      <c r="T231" s="334"/>
      <c r="U231" s="334"/>
      <c r="V231" s="334"/>
      <c r="W231" s="334"/>
      <c r="X231" s="334"/>
      <c r="Y231" s="334"/>
      <c r="Z231" s="334"/>
      <c r="AA231" s="334"/>
      <c r="AB231" s="334"/>
      <c r="AC231" s="334"/>
      <c r="AD231" s="334"/>
    </row>
    <row r="232" spans="2:30" ht="20" customHeight="1" x14ac:dyDescent="0.2">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c r="Z232" s="334"/>
      <c r="AA232" s="334"/>
      <c r="AB232" s="334"/>
      <c r="AC232" s="334"/>
      <c r="AD232" s="334"/>
    </row>
    <row r="233" spans="2:30" ht="20" customHeight="1" x14ac:dyDescent="0.2">
      <c r="B233" s="334"/>
      <c r="C233" s="334"/>
      <c r="D233" s="334"/>
      <c r="E233" s="334"/>
      <c r="F233" s="334"/>
      <c r="G233" s="334"/>
      <c r="H233" s="334"/>
      <c r="I233" s="334"/>
      <c r="J233" s="334"/>
      <c r="K233" s="334"/>
      <c r="L233" s="334"/>
      <c r="M233" s="334"/>
      <c r="N233" s="334"/>
      <c r="O233" s="334"/>
      <c r="P233" s="334"/>
      <c r="Q233" s="334"/>
      <c r="R233" s="334"/>
      <c r="S233" s="334"/>
      <c r="T233" s="334"/>
      <c r="U233" s="334"/>
      <c r="V233" s="334"/>
      <c r="W233" s="334"/>
      <c r="X233" s="334"/>
      <c r="Y233" s="334"/>
      <c r="Z233" s="334"/>
      <c r="AA233" s="334"/>
      <c r="AB233" s="334"/>
      <c r="AC233" s="334"/>
      <c r="AD233" s="334"/>
    </row>
    <row r="234" spans="2:30" ht="20" customHeight="1" x14ac:dyDescent="0.2">
      <c r="B234" s="334"/>
      <c r="C234" s="334"/>
      <c r="D234" s="334"/>
      <c r="E234" s="334"/>
      <c r="F234" s="334"/>
      <c r="G234" s="334"/>
      <c r="H234" s="334"/>
      <c r="I234" s="334"/>
      <c r="J234" s="334"/>
      <c r="K234" s="334"/>
      <c r="L234" s="334"/>
      <c r="M234" s="334"/>
      <c r="N234" s="334"/>
      <c r="O234" s="334"/>
      <c r="P234" s="334"/>
      <c r="Q234" s="334"/>
      <c r="R234" s="334"/>
      <c r="S234" s="334"/>
      <c r="T234" s="334"/>
      <c r="U234" s="334"/>
      <c r="V234" s="334"/>
      <c r="W234" s="334"/>
      <c r="X234" s="334"/>
      <c r="Y234" s="334"/>
      <c r="Z234" s="334"/>
      <c r="AA234" s="334"/>
      <c r="AB234" s="334"/>
      <c r="AC234" s="334"/>
      <c r="AD234" s="334"/>
    </row>
    <row r="235" spans="2:30" ht="20" customHeight="1" x14ac:dyDescent="0.2">
      <c r="B235" s="334"/>
      <c r="C235" s="334"/>
      <c r="D235" s="334"/>
      <c r="E235" s="334"/>
      <c r="F235" s="334"/>
      <c r="G235" s="334"/>
      <c r="H235" s="334"/>
      <c r="I235" s="334"/>
      <c r="J235" s="334"/>
      <c r="K235" s="334"/>
      <c r="L235" s="334"/>
      <c r="M235" s="334"/>
      <c r="N235" s="334"/>
      <c r="O235" s="334"/>
      <c r="P235" s="334"/>
      <c r="Q235" s="334"/>
      <c r="R235" s="334"/>
      <c r="S235" s="334"/>
      <c r="T235" s="334"/>
      <c r="U235" s="334"/>
      <c r="V235" s="334"/>
      <c r="W235" s="334"/>
      <c r="X235" s="334"/>
      <c r="Y235" s="334"/>
      <c r="Z235" s="334"/>
      <c r="AA235" s="334"/>
      <c r="AB235" s="334"/>
      <c r="AC235" s="334"/>
      <c r="AD235" s="334"/>
    </row>
    <row r="236" spans="2:30" ht="20" customHeight="1" x14ac:dyDescent="0.2">
      <c r="B236" s="334"/>
      <c r="C236" s="334"/>
      <c r="D236" s="334"/>
      <c r="E236" s="334"/>
      <c r="F236" s="334"/>
      <c r="G236" s="334"/>
      <c r="H236" s="334"/>
      <c r="I236" s="334"/>
      <c r="J236" s="334"/>
      <c r="K236" s="334"/>
      <c r="L236" s="334"/>
      <c r="M236" s="334"/>
      <c r="N236" s="334"/>
      <c r="O236" s="334"/>
      <c r="P236" s="334"/>
      <c r="Q236" s="334"/>
      <c r="R236" s="334"/>
      <c r="S236" s="334"/>
      <c r="T236" s="334"/>
      <c r="U236" s="334"/>
      <c r="V236" s="334"/>
      <c r="W236" s="334"/>
      <c r="X236" s="334"/>
      <c r="Y236" s="334"/>
      <c r="Z236" s="334"/>
      <c r="AA236" s="334"/>
      <c r="AB236" s="334"/>
      <c r="AC236" s="334"/>
      <c r="AD236" s="334"/>
    </row>
    <row r="237" spans="2:30" ht="20" customHeight="1" x14ac:dyDescent="0.2">
      <c r="B237" s="334"/>
      <c r="C237" s="334"/>
      <c r="D237" s="334"/>
      <c r="E237" s="334"/>
      <c r="F237" s="334"/>
      <c r="G237" s="334"/>
      <c r="H237" s="334"/>
      <c r="I237" s="334"/>
      <c r="J237" s="334"/>
      <c r="K237" s="334"/>
      <c r="L237" s="334"/>
      <c r="M237" s="334"/>
      <c r="N237" s="334"/>
      <c r="O237" s="334"/>
      <c r="P237" s="334"/>
      <c r="Q237" s="334"/>
      <c r="R237" s="334"/>
      <c r="S237" s="334"/>
      <c r="T237" s="334"/>
      <c r="U237" s="334"/>
      <c r="V237" s="334"/>
      <c r="W237" s="334"/>
      <c r="X237" s="334"/>
      <c r="Y237" s="334"/>
      <c r="Z237" s="334"/>
      <c r="AA237" s="334"/>
      <c r="AB237" s="334"/>
      <c r="AC237" s="334"/>
      <c r="AD237" s="334"/>
    </row>
    <row r="238" spans="2:30" ht="20" customHeight="1" x14ac:dyDescent="0.2"/>
    <row r="239" spans="2:30" ht="20" customHeight="1" x14ac:dyDescent="0.2"/>
    <row r="240" spans="2:30" ht="20" customHeight="1" x14ac:dyDescent="0.2"/>
    <row r="241" ht="20" customHeight="1" x14ac:dyDescent="0.2"/>
    <row r="242" ht="20" customHeight="1" x14ac:dyDescent="0.2"/>
    <row r="243" ht="20" customHeight="1" x14ac:dyDescent="0.2"/>
    <row r="244" ht="20" customHeight="1" x14ac:dyDescent="0.2"/>
    <row r="245" ht="20" customHeight="1" x14ac:dyDescent="0.2"/>
    <row r="246" ht="20" customHeight="1" x14ac:dyDescent="0.2"/>
    <row r="247" ht="20" customHeight="1" x14ac:dyDescent="0.2"/>
    <row r="248" ht="20" customHeight="1" x14ac:dyDescent="0.2"/>
    <row r="249" ht="20" customHeight="1" x14ac:dyDescent="0.2"/>
    <row r="250" ht="20" customHeight="1" x14ac:dyDescent="0.2"/>
    <row r="251" ht="20" customHeight="1" x14ac:dyDescent="0.2"/>
    <row r="252" ht="20" customHeight="1" x14ac:dyDescent="0.2"/>
    <row r="253" ht="20" customHeight="1" x14ac:dyDescent="0.2"/>
    <row r="254" ht="20" customHeight="1" x14ac:dyDescent="0.2"/>
    <row r="255" ht="20" customHeight="1" x14ac:dyDescent="0.2"/>
    <row r="256" ht="20" customHeight="1" x14ac:dyDescent="0.2"/>
    <row r="257" ht="20" customHeight="1" x14ac:dyDescent="0.2"/>
    <row r="258" ht="20" customHeight="1" x14ac:dyDescent="0.2"/>
    <row r="259" ht="20" customHeight="1" x14ac:dyDescent="0.2"/>
    <row r="260" ht="20" customHeight="1" x14ac:dyDescent="0.2"/>
    <row r="261" ht="20" customHeight="1" x14ac:dyDescent="0.2"/>
    <row r="262" ht="20" customHeight="1" x14ac:dyDescent="0.2"/>
    <row r="263" ht="20" customHeight="1" x14ac:dyDescent="0.2"/>
    <row r="264" ht="20" customHeight="1" x14ac:dyDescent="0.2"/>
    <row r="265" ht="20" customHeight="1" x14ac:dyDescent="0.2"/>
    <row r="266" ht="20" customHeight="1" x14ac:dyDescent="0.2"/>
    <row r="267" ht="20" customHeight="1" x14ac:dyDescent="0.2"/>
    <row r="268" ht="20" customHeight="1" x14ac:dyDescent="0.2"/>
    <row r="269" ht="20" customHeight="1" x14ac:dyDescent="0.2"/>
    <row r="270" ht="20" customHeight="1" x14ac:dyDescent="0.2"/>
    <row r="271" ht="20" customHeight="1" x14ac:dyDescent="0.2"/>
    <row r="272" ht="20" customHeight="1" x14ac:dyDescent="0.2"/>
    <row r="273" ht="20" customHeight="1" x14ac:dyDescent="0.2"/>
    <row r="274" ht="20" customHeight="1" x14ac:dyDescent="0.2"/>
    <row r="275" ht="20" customHeight="1" x14ac:dyDescent="0.2"/>
    <row r="276" ht="20" customHeight="1" x14ac:dyDescent="0.2"/>
    <row r="277" ht="20" customHeight="1" x14ac:dyDescent="0.2"/>
    <row r="278" ht="20" customHeight="1" x14ac:dyDescent="0.2"/>
    <row r="279" ht="20" customHeight="1" x14ac:dyDescent="0.2"/>
    <row r="280" ht="20" customHeight="1" x14ac:dyDescent="0.2"/>
    <row r="281" ht="20" customHeight="1" x14ac:dyDescent="0.2"/>
    <row r="282" ht="20" customHeight="1" x14ac:dyDescent="0.2"/>
    <row r="283" ht="20" customHeight="1" x14ac:dyDescent="0.2"/>
    <row r="284" ht="20" customHeight="1" x14ac:dyDescent="0.2"/>
  </sheetData>
  <sheetProtection algorithmName="SHA-512" hashValue="xekrTyDOTRK00ALtSPrgTUpZinGyIGbsskwKsxcB7Dv6ryqPurFbeZ5+vblmiyXFQ+r1RQ8JrXWGP38vCY7p1Q==" saltValue="w+MPhOI5CTK3LFZTpN5xZA==" spinCount="100000" sheet="1" objects="1" scenarios="1" selectLockedCells="1" selectUnlockedCells="1"/>
  <sortState xmlns:xlrd2="http://schemas.microsoft.com/office/spreadsheetml/2017/richdata2" ref="B184:AG203">
    <sortCondition ref="B184:B203"/>
  </sortState>
  <mergeCells count="21">
    <mergeCell ref="N2:V2"/>
    <mergeCell ref="C131:E131"/>
    <mergeCell ref="F131:G131"/>
    <mergeCell ref="H131:J131"/>
    <mergeCell ref="K131:O131"/>
    <mergeCell ref="C4:E4"/>
    <mergeCell ref="H4:J4"/>
    <mergeCell ref="L5:O5"/>
    <mergeCell ref="F5:G5"/>
    <mergeCell ref="F4:G4"/>
    <mergeCell ref="K4:O4"/>
    <mergeCell ref="AE4:AF4"/>
    <mergeCell ref="Z4:AD4"/>
    <mergeCell ref="P131:T131"/>
    <mergeCell ref="U131:Y131"/>
    <mergeCell ref="U132:X132"/>
    <mergeCell ref="Z131:AD131"/>
    <mergeCell ref="U5:X5"/>
    <mergeCell ref="P4:T4"/>
    <mergeCell ref="U4:Y4"/>
    <mergeCell ref="P5:S5"/>
  </mergeCells>
  <conditionalFormatting sqref="B4:B214">
    <cfRule type="cellIs" dxfId="17" priority="2" operator="equal">
      <formula>0</formula>
    </cfRule>
  </conditionalFormatting>
  <conditionalFormatting sqref="K2">
    <cfRule type="cellIs" dxfId="16" priority="3" operator="equal">
      <formula>"Locked"</formula>
    </cfRule>
    <cfRule type="cellIs" dxfId="15" priority="4" operator="equal">
      <formula>"Activated"</formula>
    </cfRule>
  </conditionalFormatting>
  <conditionalFormatting sqref="AA184:AA214">
    <cfRule type="cellIs" dxfId="14" priority="5" operator="equal">
      <formula>0</formula>
    </cfRule>
  </conditionalFormatting>
  <conditionalFormatting sqref="AE1:AE1048576">
    <cfRule type="cellIs" dxfId="13" priority="1" operator="equal">
      <formula>"Yes"</formula>
    </cfRule>
  </conditionalFormatting>
  <dataValidations count="11">
    <dataValidation type="list" allowBlank="1" showInputMessage="1" showErrorMessage="1" sqref="K6:K129" xr:uid="{EC706479-A059-4C9D-ABF6-CCCB2473E9A2}">
      <formula1>"Yes,No"</formula1>
    </dataValidation>
    <dataValidation type="list" allowBlank="1" showInputMessage="1" showErrorMessage="1" sqref="Y68:Y129 T6:T10 T82:T84 Y6:Y10 Y12 Y16:Y45 T12:T80 Y49:Y62 Z6:Z23 Z28 Z30 Z32:Z129" xr:uid="{54A35997-D051-4B14-B29E-5A14C3EECF44}">
      <formula1>"1,2,3"</formula1>
    </dataValidation>
    <dataValidation type="list" allowBlank="1" showInputMessage="1" showErrorMessage="1" sqref="D6:D46 D48:D129" xr:uid="{385BF78B-B0C4-49A5-B95E-E5B1AA618718}">
      <formula1>"mg, micrograms, mL, mmol"</formula1>
    </dataValidation>
    <dataValidation type="list" allowBlank="1" showInputMessage="1" showErrorMessage="1" sqref="T11 Y11 Y13:Y15 Y46:Y48 Y134:Y166 T85:T129 T81 Y63:Y67" xr:uid="{22B359DD-376E-43EB-AF7B-113AC1676368}">
      <formula1>"0,1,2,3"</formula1>
    </dataValidation>
    <dataValidation type="list" allowBlank="1" showInputMessage="1" showErrorMessage="1" sqref="D47" xr:uid="{0ABAC065-4F5C-DF43-AEEB-DA2A7B9BEB36}">
      <formula1>"mg, micrograms, gram, mL, mmol"</formula1>
    </dataValidation>
    <dataValidation type="list" allowBlank="1" showInputMessage="1" showErrorMessage="1" sqref="K134:K166" xr:uid="{670EE300-1FB8-964E-A27B-C5A824260D0D}">
      <formula1>"Yes, No"</formula1>
    </dataValidation>
    <dataValidation type="list" allowBlank="1" showInputMessage="1" showErrorMessage="1" sqref="D163:D166 D134:D137 D159 D141:D157 D161" xr:uid="{D85361E2-B64B-C141-95EE-2D390F53363B}">
      <formula1>"mg,micrograms"</formula1>
    </dataValidation>
    <dataValidation type="list" allowBlank="1" showInputMessage="1" showErrorMessage="1" sqref="D138 D160" xr:uid="{D8CD9875-5516-B84D-83C7-0ADD04327D93}">
      <formula1>"mg,micrograms,units"</formula1>
    </dataValidation>
    <dataValidation type="list" allowBlank="1" showInputMessage="1" showErrorMessage="1" sqref="D158" xr:uid="{08B0B902-0EC0-8648-A58A-03C6D60294F5}">
      <formula1>"mg,micrograms,Units"</formula1>
    </dataValidation>
    <dataValidation type="list" allowBlank="1" showInputMessage="1" showErrorMessage="1" sqref="D162" xr:uid="{BC66B886-4AEC-2B4A-B463-764824959B80}">
      <formula1>"mg,micrograms,units,0"</formula1>
    </dataValidation>
    <dataValidation type="list" allowBlank="1" showInputMessage="1" showErrorMessage="1" sqref="D139" xr:uid="{2727151E-83BD-AA4A-9FC3-AC9D2549B5D9}">
      <formula1>"mg,micrograms,mmol"</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1A212-44EA-494B-AD02-4D6DB0772E70}">
  <sheetPr codeName="Sheet8">
    <tabColor theme="4" tint="-0.249977111117893"/>
  </sheetPr>
  <dimension ref="B1:X103"/>
  <sheetViews>
    <sheetView zoomScale="90" zoomScaleNormal="90" workbookViewId="0">
      <pane xSplit="2" ySplit="7" topLeftCell="C55" activePane="bottomRight" state="frozen"/>
      <selection pane="topRight" activeCell="C1" sqref="C1"/>
      <selection pane="bottomLeft" activeCell="A8" sqref="A8"/>
      <selection pane="bottomRight"/>
    </sheetView>
  </sheetViews>
  <sheetFormatPr baseColWidth="10" defaultColWidth="10.83203125" defaultRowHeight="25" customHeight="1" x14ac:dyDescent="0.2"/>
  <cols>
    <col min="1" max="1" width="10.83203125" style="54"/>
    <col min="2" max="2" width="37.1640625" style="54" customWidth="1"/>
    <col min="3" max="4" width="14.83203125" style="54" customWidth="1"/>
    <col min="5" max="8" width="14.83203125" style="176" customWidth="1"/>
    <col min="9" max="9" width="20.83203125" style="176" customWidth="1"/>
    <col min="10" max="12" width="10.83203125" style="56"/>
    <col min="13" max="13" width="20.83203125" style="176" customWidth="1"/>
    <col min="14" max="16" width="10.83203125" style="176" customWidth="1"/>
    <col min="17" max="17" width="20.83203125" style="176" customWidth="1"/>
    <col min="18" max="18" width="10.83203125" style="176"/>
    <col min="19" max="19" width="40.83203125" style="54" customWidth="1"/>
    <col min="20" max="20" width="40.83203125" style="176" customWidth="1"/>
    <col min="21" max="22" width="40.83203125" style="56" customWidth="1"/>
    <col min="23" max="23" width="40.83203125" style="176" customWidth="1"/>
    <col min="24" max="24" width="117.6640625" style="54" customWidth="1"/>
    <col min="25" max="16384" width="10.83203125" style="54"/>
  </cols>
  <sheetData>
    <row r="1" spans="2:24" ht="25" customHeight="1" thickBot="1" x14ac:dyDescent="0.25"/>
    <row r="2" spans="2:24" ht="25" customHeight="1" thickBot="1" x14ac:dyDescent="0.25">
      <c r="B2" s="177" t="s">
        <v>60</v>
      </c>
      <c r="C2" s="84">
        <f>Formulary!$C$2</f>
        <v>3.5</v>
      </c>
      <c r="E2" s="220"/>
      <c r="F2" s="220" t="s">
        <v>222</v>
      </c>
      <c r="G2" s="219"/>
      <c r="I2" s="244" t="str">
        <f>"// for weight &lt; 30kg the amount of drug and dilution volume is calculated in table"</f>
        <v>// for weight &lt; 30kg the amount of drug and dilution volume is calculated in table</v>
      </c>
    </row>
    <row r="3" spans="2:24" ht="25" customHeight="1" thickBot="1" x14ac:dyDescent="0.25">
      <c r="B3" s="246" t="s">
        <v>231</v>
      </c>
      <c r="C3" s="423">
        <f>MROUND(IF(ISTEXT('Weight Estimations'!$G$36),0.1,'Weight Estimations'!$G$36),0.1)</f>
        <v>0.1</v>
      </c>
      <c r="E3" s="215"/>
      <c r="F3" s="216" t="s">
        <v>221</v>
      </c>
      <c r="G3" s="214"/>
      <c r="I3" s="166" t="str">
        <f>"// for weight &gt;30kg the amount of drug and dilution volume is extracted from inotrope chart worksheet"</f>
        <v>// for weight &gt;30kg the amount of drug and dilution volume is extracted from inotrope chart worksheet</v>
      </c>
    </row>
    <row r="5" spans="2:24" ht="25" customHeight="1" thickBot="1" x14ac:dyDescent="0.25"/>
    <row r="6" spans="2:24" s="56" customFormat="1" ht="25" customHeight="1" thickBot="1" x14ac:dyDescent="0.25">
      <c r="B6" s="187" t="s">
        <v>0</v>
      </c>
      <c r="C6" s="188" t="s">
        <v>187</v>
      </c>
      <c r="D6" s="189" t="s">
        <v>188</v>
      </c>
      <c r="E6" s="919" t="s">
        <v>200</v>
      </c>
      <c r="F6" s="921"/>
      <c r="G6" s="920"/>
      <c r="H6" s="919" t="s">
        <v>201</v>
      </c>
      <c r="I6" s="920"/>
      <c r="J6" s="893" t="s">
        <v>202</v>
      </c>
      <c r="K6" s="894"/>
      <c r="L6" s="894"/>
      <c r="M6" s="895"/>
      <c r="N6" s="893" t="s">
        <v>194</v>
      </c>
      <c r="O6" s="894"/>
      <c r="P6" s="894"/>
      <c r="Q6" s="894"/>
      <c r="R6" s="895"/>
      <c r="S6" s="888" t="s">
        <v>103</v>
      </c>
      <c r="T6" s="889"/>
      <c r="U6" s="889"/>
      <c r="V6" s="889"/>
      <c r="W6" s="890"/>
      <c r="X6" s="122"/>
    </row>
    <row r="7" spans="2:24" s="56" customFormat="1" ht="25" customHeight="1" thickBot="1" x14ac:dyDescent="0.25">
      <c r="B7" s="178"/>
      <c r="C7" s="179"/>
      <c r="D7" s="180"/>
      <c r="E7" s="184" t="s">
        <v>189</v>
      </c>
      <c r="F7" s="185" t="s">
        <v>6</v>
      </c>
      <c r="G7" s="186" t="s">
        <v>215</v>
      </c>
      <c r="H7" s="184" t="s">
        <v>190</v>
      </c>
      <c r="I7" s="186" t="s">
        <v>6</v>
      </c>
      <c r="J7" s="181" t="s">
        <v>191</v>
      </c>
      <c r="K7" s="182" t="s">
        <v>192</v>
      </c>
      <c r="L7" s="182" t="s">
        <v>193</v>
      </c>
      <c r="M7" s="183" t="s">
        <v>6</v>
      </c>
      <c r="N7" s="181" t="s">
        <v>191</v>
      </c>
      <c r="O7" s="182" t="s">
        <v>192</v>
      </c>
      <c r="P7" s="182" t="s">
        <v>198</v>
      </c>
      <c r="Q7" s="182" t="s">
        <v>6</v>
      </c>
      <c r="R7" s="183" t="s">
        <v>199</v>
      </c>
      <c r="S7" s="58" t="s">
        <v>195</v>
      </c>
      <c r="T7" s="58" t="s">
        <v>78</v>
      </c>
      <c r="U7" s="58" t="s">
        <v>100</v>
      </c>
      <c r="V7" s="58" t="s">
        <v>196</v>
      </c>
      <c r="W7" s="59" t="s">
        <v>197</v>
      </c>
      <c r="X7" s="233"/>
    </row>
    <row r="8" spans="2:24" s="55" customFormat="1" ht="25" customHeight="1" x14ac:dyDescent="0.2">
      <c r="B8" s="200" t="s">
        <v>203</v>
      </c>
      <c r="C8" s="196"/>
      <c r="D8" s="687"/>
      <c r="E8" s="211"/>
      <c r="F8" s="204"/>
      <c r="G8" s="207"/>
      <c r="H8" s="211"/>
      <c r="I8" s="207" t="str">
        <f>IFERROR(IF($F8="mg","microgram/kg/min",IF($F8="micrograms","nanogram/kg/min","")),"")</f>
        <v/>
      </c>
      <c r="J8" s="211"/>
      <c r="K8" s="204" t="str">
        <f>IF($J8="","","to")</f>
        <v/>
      </c>
      <c r="L8" s="204"/>
      <c r="M8" s="207" t="str">
        <f>IF($J8="","",$I8)</f>
        <v/>
      </c>
      <c r="N8" s="211" t="str">
        <f>IFERROR(ROUND(($J8/$H8),$R8),"")</f>
        <v/>
      </c>
      <c r="O8" s="204" t="str">
        <f>$K8</f>
        <v/>
      </c>
      <c r="P8" s="204" t="str">
        <f>IFERROR(ROUND(($L8/$H8),$R8),"")</f>
        <v/>
      </c>
      <c r="Q8" s="204" t="str">
        <f>IF($N8="","","mL/hr")</f>
        <v/>
      </c>
      <c r="R8" s="207"/>
      <c r="S8" s="194"/>
      <c r="T8" s="224"/>
      <c r="U8" s="224"/>
      <c r="V8" s="224"/>
      <c r="W8" s="231"/>
      <c r="X8" s="230"/>
    </row>
    <row r="9" spans="2:24" s="55" customFormat="1" ht="25" customHeight="1" x14ac:dyDescent="0.2">
      <c r="B9" s="201"/>
      <c r="C9" s="197" t="s">
        <v>204</v>
      </c>
      <c r="D9" s="109" t="str">
        <f>IF($C$2&lt;30,"Yes","No")</f>
        <v>Yes</v>
      </c>
      <c r="E9" s="20">
        <f>ROUND((0.15*$C$2),1)</f>
        <v>0.5</v>
      </c>
      <c r="F9" s="102" t="s">
        <v>7</v>
      </c>
      <c r="G9" s="208">
        <v>50</v>
      </c>
      <c r="H9" s="20">
        <f>IFERROR(ROUND((($E9/$G9)*1000)/$C$2/60,2),"")</f>
        <v>0.05</v>
      </c>
      <c r="I9" s="209" t="str">
        <f>IFERROR(IF($F9="mg","micrograms/kg/min",IF($F9="micrograms","nanogram/kg/min","")),"")</f>
        <v>micrograms/kg/min</v>
      </c>
      <c r="J9" s="20">
        <v>0.01</v>
      </c>
      <c r="K9" s="102" t="str">
        <f t="shared" ref="K9:K74" si="0">IF($J9="","","to")</f>
        <v>to</v>
      </c>
      <c r="L9" s="102">
        <v>1</v>
      </c>
      <c r="M9" s="208" t="str">
        <f t="shared" ref="M9:M74" si="1">IF($J9="","",$I9)</f>
        <v>micrograms/kg/min</v>
      </c>
      <c r="N9" s="212">
        <f t="shared" ref="N9:N74" si="2">IFERROR(ROUND(($J9/$H9),$R9),"")</f>
        <v>0.2</v>
      </c>
      <c r="O9" s="205" t="str">
        <f t="shared" ref="O9:O74" si="3">$K9</f>
        <v>to</v>
      </c>
      <c r="P9" s="102">
        <f t="shared" ref="P9:P74" si="4">IFERROR(ROUND(($L9/$H9),$R9),"")</f>
        <v>20</v>
      </c>
      <c r="Q9" s="102" t="str">
        <f t="shared" ref="Q9:Q74" si="5">IF($N9="","","mL/hr")</f>
        <v>mL/hr</v>
      </c>
      <c r="R9" s="208">
        <v>2</v>
      </c>
      <c r="S9" s="190"/>
      <c r="T9" s="18" t="str">
        <f>IF(N9="","",$N9&amp;" - "&amp;$P9&amp;" "&amp;$Q9)</f>
        <v>0.2 - 20 mL/hr</v>
      </c>
      <c r="U9" s="18" t="str">
        <f>E9&amp;" mg diluted to "&amp;G9&amp;" mL"</f>
        <v>0.5 mg diluted to 50 mL</v>
      </c>
      <c r="V9" s="18" t="str">
        <f>IF($H9="","","1ml/hr = "&amp;$H9&amp;" "&amp;$I9)</f>
        <v>1ml/hr = 0.05 micrograms/kg/min</v>
      </c>
      <c r="W9" s="19" t="str">
        <f>"@0.01 - 1 micrograms/kg/min"</f>
        <v>@0.01 - 1 micrograms/kg/min</v>
      </c>
      <c r="X9" s="190" t="s">
        <v>223</v>
      </c>
    </row>
    <row r="10" spans="2:24" s="55" customFormat="1" ht="25" customHeight="1" x14ac:dyDescent="0.2">
      <c r="B10" s="201"/>
      <c r="C10" s="197" t="s">
        <v>212</v>
      </c>
      <c r="D10" s="109" t="str">
        <f>IF($C$2&gt;=30,"Yes","No")</f>
        <v>No</v>
      </c>
      <c r="E10" s="20" t="str">
        <f>'Inotrope Charts'!E49</f>
        <v/>
      </c>
      <c r="F10" s="102" t="s">
        <v>7</v>
      </c>
      <c r="G10" s="208" t="str">
        <f>'Inotrope Charts'!$C$49</f>
        <v/>
      </c>
      <c r="H10" s="258" t="str">
        <f t="shared" ref="H10:H75" si="6">IFERROR(ROUND((($E10/$G10)*1000)/$C$2/60,2),"")</f>
        <v/>
      </c>
      <c r="I10" s="209" t="str">
        <f>IFERROR(IF($F10="mg","micrograms/kg/min",IF($F10="micrograms","nanogram/kg/min","")),"")</f>
        <v>micrograms/kg/min</v>
      </c>
      <c r="J10" s="20">
        <v>0.01</v>
      </c>
      <c r="K10" s="102" t="str">
        <f t="shared" si="0"/>
        <v>to</v>
      </c>
      <c r="L10" s="102">
        <v>1</v>
      </c>
      <c r="M10" s="208" t="str">
        <f t="shared" si="1"/>
        <v>micrograms/kg/min</v>
      </c>
      <c r="N10" s="212" t="str">
        <f t="shared" si="2"/>
        <v/>
      </c>
      <c r="O10" s="205" t="str">
        <f t="shared" si="3"/>
        <v>to</v>
      </c>
      <c r="P10" s="102" t="str">
        <f t="shared" si="4"/>
        <v/>
      </c>
      <c r="Q10" s="102" t="str">
        <f t="shared" si="5"/>
        <v/>
      </c>
      <c r="R10" s="208">
        <v>1</v>
      </c>
      <c r="S10" s="190"/>
      <c r="T10" s="18" t="str">
        <f t="shared" ref="T10:T75" si="7">IF(N10="","",$N10&amp;" - "&amp;$P10&amp;" "&amp;$Q10)</f>
        <v/>
      </c>
      <c r="U10" s="18" t="str">
        <f>E10&amp;" mg diluted to "&amp;G10&amp;" mL"</f>
        <v xml:space="preserve"> mg diluted to  mL</v>
      </c>
      <c r="V10" s="18" t="str">
        <f t="shared" ref="V10:V70" si="8">IF($H10="","","1ml/hr = "&amp;$H10&amp;" "&amp;$I10)</f>
        <v/>
      </c>
      <c r="W10" s="19" t="str">
        <f>"@0.01 - 1 micrograms/kg/min"</f>
        <v>@0.01 - 1 micrograms/kg/min</v>
      </c>
      <c r="X10" s="190"/>
    </row>
    <row r="11" spans="2:24" s="55" customFormat="1" ht="25" customHeight="1" x14ac:dyDescent="0.2">
      <c r="B11" s="202" t="s">
        <v>205</v>
      </c>
      <c r="C11" s="198"/>
      <c r="D11" s="688"/>
      <c r="E11" s="212"/>
      <c r="F11" s="205"/>
      <c r="G11" s="209"/>
      <c r="H11" s="20" t="str">
        <f t="shared" si="6"/>
        <v/>
      </c>
      <c r="I11" s="209" t="str">
        <f t="shared" ref="I11:I74" si="9">IFERROR(IF($F11="mg","microgram/kg/min",IF($F11="micrograms","nanogram/kg/min","")),"")</f>
        <v/>
      </c>
      <c r="J11" s="212"/>
      <c r="K11" s="205" t="str">
        <f t="shared" si="0"/>
        <v/>
      </c>
      <c r="L11" s="205"/>
      <c r="M11" s="209" t="str">
        <f t="shared" si="1"/>
        <v/>
      </c>
      <c r="N11" s="212" t="str">
        <f t="shared" si="2"/>
        <v/>
      </c>
      <c r="O11" s="205" t="str">
        <f t="shared" si="3"/>
        <v/>
      </c>
      <c r="P11" s="205" t="str">
        <f t="shared" si="4"/>
        <v/>
      </c>
      <c r="Q11" s="205" t="str">
        <f t="shared" si="5"/>
        <v/>
      </c>
      <c r="R11" s="209"/>
      <c r="S11" s="195"/>
      <c r="T11" s="225" t="str">
        <f t="shared" si="7"/>
        <v/>
      </c>
      <c r="U11" s="225"/>
      <c r="V11" s="225" t="str">
        <f t="shared" si="8"/>
        <v/>
      </c>
      <c r="W11" s="232"/>
      <c r="X11" s="195"/>
    </row>
    <row r="12" spans="2:24" s="55" customFormat="1" ht="25" customHeight="1" x14ac:dyDescent="0.2">
      <c r="B12" s="201"/>
      <c r="C12" s="197" t="s">
        <v>204</v>
      </c>
      <c r="D12" s="109" t="str">
        <f>IF($C$2&lt;30,"Yes","No")</f>
        <v>Yes</v>
      </c>
      <c r="E12" s="20">
        <f>ROUND((0.3*$C$2),1)</f>
        <v>1.1000000000000001</v>
      </c>
      <c r="F12" s="102" t="s">
        <v>7</v>
      </c>
      <c r="G12" s="208">
        <v>50</v>
      </c>
      <c r="H12" s="20">
        <f t="shared" si="6"/>
        <v>0.1</v>
      </c>
      <c r="I12" s="209" t="str">
        <f>IFERROR(IF($F12="mg","micrograms/kg/min",IF($F12="micrograms","nanogram/kg/min","")),"")</f>
        <v>micrograms/kg/min</v>
      </c>
      <c r="J12" s="20">
        <v>0.01</v>
      </c>
      <c r="K12" s="102" t="str">
        <f t="shared" si="0"/>
        <v>to</v>
      </c>
      <c r="L12" s="102">
        <v>1</v>
      </c>
      <c r="M12" s="208" t="str">
        <f t="shared" si="1"/>
        <v>micrograms/kg/min</v>
      </c>
      <c r="N12" s="212">
        <f t="shared" si="2"/>
        <v>0.1</v>
      </c>
      <c r="O12" s="205" t="str">
        <f t="shared" si="3"/>
        <v>to</v>
      </c>
      <c r="P12" s="102">
        <f t="shared" si="4"/>
        <v>10</v>
      </c>
      <c r="Q12" s="102" t="str">
        <f t="shared" si="5"/>
        <v>mL/hr</v>
      </c>
      <c r="R12" s="208">
        <v>2</v>
      </c>
      <c r="S12" s="190"/>
      <c r="T12" s="18" t="str">
        <f t="shared" si="7"/>
        <v>0.1 - 10 mL/hr</v>
      </c>
      <c r="U12" s="18" t="str">
        <f>E12&amp;" mg diluted to "&amp;G12&amp;" mL"</f>
        <v>1.1 mg diluted to 50 mL</v>
      </c>
      <c r="V12" s="18" t="str">
        <f t="shared" si="8"/>
        <v>1ml/hr = 0.1 micrograms/kg/min</v>
      </c>
      <c r="W12" s="19" t="str">
        <f>"@0.01 - 1 micrograms/kg/min"</f>
        <v>@0.01 - 1 micrograms/kg/min</v>
      </c>
      <c r="X12" s="190" t="s">
        <v>223</v>
      </c>
    </row>
    <row r="13" spans="2:24" s="55" customFormat="1" ht="25" customHeight="1" x14ac:dyDescent="0.2">
      <c r="B13" s="201"/>
      <c r="C13" s="197" t="s">
        <v>212</v>
      </c>
      <c r="D13" s="109" t="str">
        <f>IF($C$2&gt;=30,"Yes","No")</f>
        <v>No</v>
      </c>
      <c r="E13" s="20" t="str">
        <f>'Inotrope Charts'!F49</f>
        <v/>
      </c>
      <c r="F13" s="102" t="s">
        <v>7</v>
      </c>
      <c r="G13" s="208" t="str">
        <f>'Inotrope Charts'!C49</f>
        <v/>
      </c>
      <c r="H13" s="20" t="str">
        <f t="shared" si="6"/>
        <v/>
      </c>
      <c r="I13" s="209" t="str">
        <f>IFERROR(IF($F13="mg","micrograms/kg/min",IF($F13="micrograms","nanogram/kg/min","")),"")</f>
        <v>micrograms/kg/min</v>
      </c>
      <c r="J13" s="20">
        <v>0.01</v>
      </c>
      <c r="K13" s="102" t="str">
        <f t="shared" si="0"/>
        <v>to</v>
      </c>
      <c r="L13" s="102">
        <v>1</v>
      </c>
      <c r="M13" s="208" t="str">
        <f t="shared" si="1"/>
        <v>micrograms/kg/min</v>
      </c>
      <c r="N13" s="212" t="str">
        <f t="shared" si="2"/>
        <v/>
      </c>
      <c r="O13" s="205" t="str">
        <f t="shared" si="3"/>
        <v>to</v>
      </c>
      <c r="P13" s="102" t="str">
        <f t="shared" si="4"/>
        <v/>
      </c>
      <c r="Q13" s="102" t="str">
        <f t="shared" si="5"/>
        <v/>
      </c>
      <c r="R13" s="208">
        <v>1</v>
      </c>
      <c r="S13" s="190"/>
      <c r="T13" s="18" t="str">
        <f t="shared" si="7"/>
        <v/>
      </c>
      <c r="U13" s="18" t="str">
        <f>E13&amp;" mg diluted to "&amp;G13&amp;" mL"</f>
        <v xml:space="preserve"> mg diluted to  mL</v>
      </c>
      <c r="V13" s="18" t="str">
        <f t="shared" si="8"/>
        <v/>
      </c>
      <c r="W13" s="19" t="str">
        <f>"@0.01 - 1 micrograms/kg/min"</f>
        <v>@0.01 - 1 micrograms/kg/min</v>
      </c>
      <c r="X13" s="190"/>
    </row>
    <row r="14" spans="2:24" s="55" customFormat="1" ht="25" customHeight="1" x14ac:dyDescent="0.2">
      <c r="B14" s="202" t="s">
        <v>94</v>
      </c>
      <c r="C14" s="198"/>
      <c r="D14" s="688"/>
      <c r="E14" s="212"/>
      <c r="F14" s="205"/>
      <c r="G14" s="209"/>
      <c r="H14" s="20" t="str">
        <f t="shared" si="6"/>
        <v/>
      </c>
      <c r="I14" s="209" t="str">
        <f t="shared" si="9"/>
        <v/>
      </c>
      <c r="J14" s="212"/>
      <c r="K14" s="205" t="str">
        <f t="shared" si="0"/>
        <v/>
      </c>
      <c r="L14" s="205"/>
      <c r="M14" s="209" t="str">
        <f t="shared" si="1"/>
        <v/>
      </c>
      <c r="N14" s="212" t="str">
        <f t="shared" si="2"/>
        <v/>
      </c>
      <c r="O14" s="205" t="str">
        <f t="shared" si="3"/>
        <v/>
      </c>
      <c r="P14" s="205" t="str">
        <f t="shared" si="4"/>
        <v/>
      </c>
      <c r="Q14" s="205" t="str">
        <f t="shared" si="5"/>
        <v/>
      </c>
      <c r="R14" s="209"/>
      <c r="S14" s="195"/>
      <c r="T14" s="225" t="str">
        <f t="shared" si="7"/>
        <v/>
      </c>
      <c r="U14" s="225"/>
      <c r="V14" s="225" t="str">
        <f t="shared" si="8"/>
        <v/>
      </c>
      <c r="W14" s="232"/>
      <c r="X14" s="195"/>
    </row>
    <row r="15" spans="2:24" s="55" customFormat="1" ht="25" customHeight="1" x14ac:dyDescent="0.2">
      <c r="B15" s="201"/>
      <c r="C15" s="197" t="s">
        <v>204</v>
      </c>
      <c r="D15" s="109" t="str">
        <f>IF($C$2&lt;30,"Yes","No")</f>
        <v>Yes</v>
      </c>
      <c r="E15" s="20">
        <f>ROUND((15*C2),1)</f>
        <v>52.5</v>
      </c>
      <c r="F15" s="102" t="s">
        <v>7</v>
      </c>
      <c r="G15" s="208">
        <v>50</v>
      </c>
      <c r="H15" s="20">
        <f t="shared" si="6"/>
        <v>5</v>
      </c>
      <c r="I15" s="209" t="str">
        <f>IFERROR(IF($F15="mg","micrograms/kg/min",IF($F15="micrograms","nanogram/kg/min","")),"")</f>
        <v>micrograms/kg/min</v>
      </c>
      <c r="J15" s="20">
        <v>2.5</v>
      </c>
      <c r="K15" s="102" t="str">
        <f t="shared" si="0"/>
        <v>to</v>
      </c>
      <c r="L15" s="102">
        <v>10</v>
      </c>
      <c r="M15" s="208" t="str">
        <f t="shared" si="1"/>
        <v>micrograms/kg/min</v>
      </c>
      <c r="N15" s="212">
        <f t="shared" si="2"/>
        <v>0.5</v>
      </c>
      <c r="O15" s="205" t="str">
        <f t="shared" si="3"/>
        <v>to</v>
      </c>
      <c r="P15" s="102">
        <f t="shared" si="4"/>
        <v>2</v>
      </c>
      <c r="Q15" s="102" t="str">
        <f t="shared" si="5"/>
        <v>mL/hr</v>
      </c>
      <c r="R15" s="208">
        <v>2</v>
      </c>
      <c r="S15" s="190"/>
      <c r="T15" s="18" t="str">
        <f t="shared" si="7"/>
        <v>0.5 - 2 mL/hr</v>
      </c>
      <c r="U15" s="18" t="str">
        <f>E15&amp;" mg diluted to "&amp;G15&amp;" mL"</f>
        <v>52.5 mg diluted to 50 mL</v>
      </c>
      <c r="V15" s="18" t="str">
        <f t="shared" si="8"/>
        <v>1ml/hr = 5 micrograms/kg/min</v>
      </c>
      <c r="W15" s="19" t="str">
        <f>"@2.5 - 10 micrograms/kg/min"</f>
        <v>@2.5 - 10 micrograms/kg/min</v>
      </c>
      <c r="X15" s="190" t="s">
        <v>223</v>
      </c>
    </row>
    <row r="16" spans="2:24" s="55" customFormat="1" ht="25" customHeight="1" x14ac:dyDescent="0.2">
      <c r="B16" s="201"/>
      <c r="C16" s="197" t="s">
        <v>212</v>
      </c>
      <c r="D16" s="109" t="str">
        <f>IF($C$2&gt;=30,"Yes","No")</f>
        <v>No</v>
      </c>
      <c r="E16" s="20" t="str">
        <f>'Inotrope Charts'!H49</f>
        <v/>
      </c>
      <c r="F16" s="102" t="s">
        <v>7</v>
      </c>
      <c r="G16" s="208" t="str">
        <f>'Inotrope Charts'!C49</f>
        <v/>
      </c>
      <c r="H16" s="20" t="str">
        <f>IFERROR(ROUND((($E16/$G16)*1000)/$C$2/60,0),"")</f>
        <v/>
      </c>
      <c r="I16" s="209" t="str">
        <f>IFERROR(IF($F16="mg","micrograms/kg/min",IF($F16="micrograms","nanogram/kg/min","")),"")</f>
        <v>micrograms/kg/min</v>
      </c>
      <c r="J16" s="20">
        <v>2.5</v>
      </c>
      <c r="K16" s="102" t="s">
        <v>192</v>
      </c>
      <c r="L16" s="102">
        <v>10</v>
      </c>
      <c r="M16" s="208" t="str">
        <f t="shared" si="1"/>
        <v>micrograms/kg/min</v>
      </c>
      <c r="N16" s="212" t="str">
        <f t="shared" si="2"/>
        <v/>
      </c>
      <c r="O16" s="205" t="str">
        <f t="shared" si="3"/>
        <v>to</v>
      </c>
      <c r="P16" s="102" t="str">
        <f t="shared" si="4"/>
        <v/>
      </c>
      <c r="Q16" s="102" t="str">
        <f t="shared" si="5"/>
        <v/>
      </c>
      <c r="R16" s="208">
        <v>1</v>
      </c>
      <c r="S16" s="190"/>
      <c r="T16" s="18" t="str">
        <f t="shared" si="7"/>
        <v/>
      </c>
      <c r="U16" s="18" t="str">
        <f>E16&amp;" mg diluted to "&amp;G16&amp;"mL"</f>
        <v xml:space="preserve"> mg diluted to mL</v>
      </c>
      <c r="V16" s="18" t="str">
        <f t="shared" si="8"/>
        <v/>
      </c>
      <c r="W16" s="19" t="str">
        <f>"@2.5 - 10 micrograms/kg/min"</f>
        <v>@2.5 - 10 micrograms/kg/min</v>
      </c>
      <c r="X16" s="190"/>
    </row>
    <row r="17" spans="2:24" s="55" customFormat="1" ht="25" customHeight="1" x14ac:dyDescent="0.2">
      <c r="B17" s="405" t="s">
        <v>447</v>
      </c>
      <c r="C17" s="198"/>
      <c r="D17" s="688"/>
      <c r="E17" s="212"/>
      <c r="F17" s="205"/>
      <c r="G17" s="209"/>
      <c r="H17" s="20" t="str">
        <f t="shared" si="6"/>
        <v/>
      </c>
      <c r="I17" s="209" t="str">
        <f t="shared" si="9"/>
        <v/>
      </c>
      <c r="J17" s="212"/>
      <c r="K17" s="205" t="str">
        <f t="shared" si="0"/>
        <v/>
      </c>
      <c r="L17" s="205"/>
      <c r="M17" s="209" t="str">
        <f t="shared" si="1"/>
        <v/>
      </c>
      <c r="N17" s="212" t="str">
        <f t="shared" si="2"/>
        <v/>
      </c>
      <c r="O17" s="205" t="str">
        <f t="shared" si="3"/>
        <v/>
      </c>
      <c r="P17" s="205" t="str">
        <f t="shared" si="4"/>
        <v/>
      </c>
      <c r="Q17" s="205" t="str">
        <f t="shared" si="5"/>
        <v/>
      </c>
      <c r="R17" s="209"/>
      <c r="S17" s="195"/>
      <c r="T17" s="225" t="str">
        <f t="shared" si="7"/>
        <v/>
      </c>
      <c r="U17" s="225"/>
      <c r="V17" s="225" t="str">
        <f t="shared" si="8"/>
        <v/>
      </c>
      <c r="W17" s="232"/>
      <c r="X17" s="195"/>
    </row>
    <row r="18" spans="2:24" s="55" customFormat="1" ht="25" customHeight="1" x14ac:dyDescent="0.2">
      <c r="B18" s="201"/>
      <c r="C18" s="197" t="s">
        <v>204</v>
      </c>
      <c r="D18" s="109" t="str">
        <f>IF($C$2&lt;30,"Yes","No")</f>
        <v>Yes</v>
      </c>
      <c r="E18" s="20">
        <f>ROUND((3*$C$2),1)</f>
        <v>10.5</v>
      </c>
      <c r="F18" s="102" t="s">
        <v>7</v>
      </c>
      <c r="G18" s="208">
        <v>50</v>
      </c>
      <c r="H18" s="20">
        <f t="shared" si="6"/>
        <v>1</v>
      </c>
      <c r="I18" s="209" t="str">
        <f>IFERROR(IF($F18="mg","micrograms/kg/min",IF($F18="micrograms","nanogram/kg/min","")),"")</f>
        <v>micrograms/kg/min</v>
      </c>
      <c r="J18" s="20">
        <v>0.5</v>
      </c>
      <c r="K18" s="102" t="str">
        <f t="shared" si="0"/>
        <v>to</v>
      </c>
      <c r="L18" s="102">
        <v>5</v>
      </c>
      <c r="M18" s="208" t="str">
        <f t="shared" si="1"/>
        <v>micrograms/kg/min</v>
      </c>
      <c r="N18" s="212">
        <f t="shared" si="2"/>
        <v>0.5</v>
      </c>
      <c r="O18" s="205" t="str">
        <f t="shared" si="3"/>
        <v>to</v>
      </c>
      <c r="P18" s="102">
        <f t="shared" si="4"/>
        <v>5</v>
      </c>
      <c r="Q18" s="102" t="str">
        <f t="shared" si="5"/>
        <v>mL/hr</v>
      </c>
      <c r="R18" s="208">
        <v>2</v>
      </c>
      <c r="S18" s="190"/>
      <c r="T18" s="18" t="str">
        <f t="shared" si="7"/>
        <v>0.5 - 5 mL/hr</v>
      </c>
      <c r="U18" s="18" t="str">
        <f>E18&amp;" mg diluted to "&amp;G18&amp;" mL"</f>
        <v>10.5 mg diluted to 50 mL</v>
      </c>
      <c r="V18" s="18" t="str">
        <f t="shared" si="8"/>
        <v>1ml/hr = 1 micrograms/kg/min</v>
      </c>
      <c r="W18" s="19" t="str">
        <f>"@0.5 - 5 micrograms/kg/min"</f>
        <v>@0.5 - 5 micrograms/kg/min</v>
      </c>
      <c r="X18" s="190" t="s">
        <v>223</v>
      </c>
    </row>
    <row r="19" spans="2:24" s="55" customFormat="1" ht="25" customHeight="1" x14ac:dyDescent="0.2">
      <c r="B19" s="201"/>
      <c r="C19" s="197" t="s">
        <v>212</v>
      </c>
      <c r="D19" s="109" t="str">
        <f>IF($C$2&gt;=30,"Yes","No")</f>
        <v>No</v>
      </c>
      <c r="E19" s="20" t="str">
        <f>'Inotrope Charts'!I49</f>
        <v/>
      </c>
      <c r="F19" s="102" t="s">
        <v>7</v>
      </c>
      <c r="G19" s="208" t="str">
        <f>'Inotrope Charts'!C49</f>
        <v/>
      </c>
      <c r="H19" s="20" t="str">
        <f>IFERROR(ROUND((($E19/$G19)*1000)/$C$2/60,1),"")</f>
        <v/>
      </c>
      <c r="I19" s="209" t="str">
        <f>IFERROR(IF($F19="mg","micrograms/kg/min",IF($F19="micrograms","nanogram/kg/min","")),"")</f>
        <v>micrograms/kg/min</v>
      </c>
      <c r="J19" s="20">
        <v>0.5</v>
      </c>
      <c r="K19" s="102" t="str">
        <f t="shared" si="0"/>
        <v>to</v>
      </c>
      <c r="L19" s="102">
        <v>5</v>
      </c>
      <c r="M19" s="208" t="str">
        <f t="shared" si="1"/>
        <v>micrograms/kg/min</v>
      </c>
      <c r="N19" s="212" t="str">
        <f t="shared" si="2"/>
        <v/>
      </c>
      <c r="O19" s="205" t="str">
        <f t="shared" si="3"/>
        <v>to</v>
      </c>
      <c r="P19" s="102" t="str">
        <f t="shared" si="4"/>
        <v/>
      </c>
      <c r="Q19" s="102" t="str">
        <f t="shared" si="5"/>
        <v/>
      </c>
      <c r="R19" s="208">
        <v>1</v>
      </c>
      <c r="S19" s="190"/>
      <c r="T19" s="18" t="str">
        <f t="shared" si="7"/>
        <v/>
      </c>
      <c r="U19" s="18" t="str">
        <f>E19&amp;" mg diluted to "&amp;G19&amp;" mL"</f>
        <v xml:space="preserve"> mg diluted to  mL</v>
      </c>
      <c r="V19" s="18" t="str">
        <f t="shared" si="8"/>
        <v/>
      </c>
      <c r="W19" s="19" t="str">
        <f>"@0.5 - 5 micrograms/kg/min"</f>
        <v>@0.5 - 5 micrograms/kg/min</v>
      </c>
      <c r="X19" s="190"/>
    </row>
    <row r="20" spans="2:24" s="55" customFormat="1" ht="25" customHeight="1" x14ac:dyDescent="0.2">
      <c r="B20" s="202" t="s">
        <v>97</v>
      </c>
      <c r="C20" s="198"/>
      <c r="D20" s="688"/>
      <c r="E20" s="212"/>
      <c r="F20" s="205"/>
      <c r="G20" s="209"/>
      <c r="H20" s="20" t="str">
        <f t="shared" si="6"/>
        <v/>
      </c>
      <c r="I20" s="209" t="str">
        <f t="shared" si="9"/>
        <v/>
      </c>
      <c r="J20" s="212"/>
      <c r="K20" s="205" t="str">
        <f t="shared" si="0"/>
        <v/>
      </c>
      <c r="L20" s="205"/>
      <c r="M20" s="209" t="str">
        <f t="shared" si="1"/>
        <v/>
      </c>
      <c r="N20" s="212" t="str">
        <f t="shared" si="2"/>
        <v/>
      </c>
      <c r="O20" s="205" t="str">
        <f t="shared" si="3"/>
        <v/>
      </c>
      <c r="P20" s="205" t="str">
        <f t="shared" si="4"/>
        <v/>
      </c>
      <c r="Q20" s="205" t="str">
        <f t="shared" si="5"/>
        <v/>
      </c>
      <c r="R20" s="209"/>
      <c r="S20" s="195"/>
      <c r="T20" s="225" t="str">
        <f t="shared" si="7"/>
        <v/>
      </c>
      <c r="U20" s="225"/>
      <c r="V20" s="225" t="str">
        <f t="shared" si="8"/>
        <v/>
      </c>
      <c r="W20" s="232"/>
      <c r="X20" s="195"/>
    </row>
    <row r="21" spans="2:24" s="55" customFormat="1" ht="25" customHeight="1" x14ac:dyDescent="0.2">
      <c r="B21" s="201"/>
      <c r="C21" s="197" t="s">
        <v>204</v>
      </c>
      <c r="D21" s="109" t="str">
        <f>IF($C$2&lt;30,"Yes","No")</f>
        <v>Yes</v>
      </c>
      <c r="E21" s="20">
        <f>ROUND((0.75*$C$2),1)</f>
        <v>2.6</v>
      </c>
      <c r="F21" s="102" t="s">
        <v>7</v>
      </c>
      <c r="G21" s="208">
        <v>50</v>
      </c>
      <c r="H21" s="20">
        <f t="shared" si="6"/>
        <v>0.25</v>
      </c>
      <c r="I21" s="209" t="str">
        <f>IFERROR(IF($F21="mg","micrograms/kg/min",IF($F21="micrograms","nanogram/kg/min","")),"")</f>
        <v>micrograms/kg/min</v>
      </c>
      <c r="J21" s="20">
        <v>0.25</v>
      </c>
      <c r="K21" s="102" t="str">
        <f t="shared" si="0"/>
        <v>to</v>
      </c>
      <c r="L21" s="102">
        <v>0.75</v>
      </c>
      <c r="M21" s="208" t="str">
        <f t="shared" si="1"/>
        <v>micrograms/kg/min</v>
      </c>
      <c r="N21" s="212">
        <f t="shared" si="2"/>
        <v>1</v>
      </c>
      <c r="O21" s="205" t="str">
        <f t="shared" si="3"/>
        <v>to</v>
      </c>
      <c r="P21" s="102">
        <f t="shared" si="4"/>
        <v>3</v>
      </c>
      <c r="Q21" s="102" t="str">
        <f t="shared" si="5"/>
        <v>mL/hr</v>
      </c>
      <c r="R21" s="208">
        <v>2</v>
      </c>
      <c r="S21" s="190"/>
      <c r="T21" s="18" t="str">
        <f t="shared" si="7"/>
        <v>1 - 3 mL/hr</v>
      </c>
      <c r="U21" s="18" t="str">
        <f>E21&amp;" mg diluted to "&amp;G21&amp;" mL"</f>
        <v>2.6 mg diluted to 50 mL</v>
      </c>
      <c r="V21" s="18" t="str">
        <f t="shared" si="8"/>
        <v>1ml/hr = 0.25 micrograms/kg/min</v>
      </c>
      <c r="W21" s="19" t="str">
        <f>"@0.25 - 0.75 micrograms/kg/min"</f>
        <v>@0.25 - 0.75 micrograms/kg/min</v>
      </c>
      <c r="X21" s="190" t="s">
        <v>225</v>
      </c>
    </row>
    <row r="22" spans="2:24" s="55" customFormat="1" ht="25" customHeight="1" x14ac:dyDescent="0.2">
      <c r="B22" s="201"/>
      <c r="C22" s="197" t="s">
        <v>212</v>
      </c>
      <c r="D22" s="109" t="str">
        <f>IF($C$2&gt;=30,"Yes","No")</f>
        <v>No</v>
      </c>
      <c r="E22" s="20" t="str">
        <f>'Inotrope Charts'!J49</f>
        <v/>
      </c>
      <c r="F22" s="102" t="s">
        <v>7</v>
      </c>
      <c r="G22" s="208" t="str">
        <f>'Inotrope Charts'!C49</f>
        <v/>
      </c>
      <c r="H22" s="20" t="str">
        <f t="shared" si="6"/>
        <v/>
      </c>
      <c r="I22" s="209" t="str">
        <f>IFERROR(IF($F22="mg","micrograms/kg/min",IF($F22="micrograms","nanogram/kg/min","")),"")</f>
        <v>micrograms/kg/min</v>
      </c>
      <c r="J22" s="20">
        <v>0.25</v>
      </c>
      <c r="K22" s="102" t="s">
        <v>192</v>
      </c>
      <c r="L22" s="102">
        <v>0.75</v>
      </c>
      <c r="M22" s="208" t="str">
        <f t="shared" si="1"/>
        <v>micrograms/kg/min</v>
      </c>
      <c r="N22" s="212" t="str">
        <f t="shared" si="2"/>
        <v/>
      </c>
      <c r="O22" s="205" t="str">
        <f t="shared" si="3"/>
        <v>to</v>
      </c>
      <c r="P22" s="102" t="str">
        <f t="shared" si="4"/>
        <v/>
      </c>
      <c r="Q22" s="102" t="str">
        <f t="shared" si="5"/>
        <v/>
      </c>
      <c r="R22" s="208">
        <v>1</v>
      </c>
      <c r="S22" s="190"/>
      <c r="T22" s="18" t="str">
        <f t="shared" si="7"/>
        <v/>
      </c>
      <c r="U22" s="18" t="str">
        <f>E22&amp;" mg diluted to "&amp;G22&amp;" mL"</f>
        <v xml:space="preserve"> mg diluted to  mL</v>
      </c>
      <c r="V22" s="18" t="str">
        <f t="shared" si="8"/>
        <v/>
      </c>
      <c r="W22" s="19" t="str">
        <f>"@0.25 - 0.75 micrograms/kg/min"</f>
        <v>@0.25 - 0.75 micrograms/kg/min</v>
      </c>
      <c r="X22" s="190"/>
    </row>
    <row r="23" spans="2:24" s="55" customFormat="1" ht="25" customHeight="1" x14ac:dyDescent="0.2">
      <c r="B23" s="202" t="s">
        <v>207</v>
      </c>
      <c r="C23" s="198"/>
      <c r="D23" s="688"/>
      <c r="E23" s="212"/>
      <c r="F23" s="205"/>
      <c r="G23" s="209"/>
      <c r="H23" s="20" t="str">
        <f t="shared" si="6"/>
        <v/>
      </c>
      <c r="I23" s="209" t="str">
        <f t="shared" si="9"/>
        <v/>
      </c>
      <c r="J23" s="212"/>
      <c r="K23" s="205" t="str">
        <f t="shared" si="0"/>
        <v/>
      </c>
      <c r="L23" s="205"/>
      <c r="M23" s="209" t="str">
        <f t="shared" si="1"/>
        <v/>
      </c>
      <c r="N23" s="212" t="str">
        <f t="shared" si="2"/>
        <v/>
      </c>
      <c r="O23" s="205" t="str">
        <f t="shared" si="3"/>
        <v/>
      </c>
      <c r="P23" s="205" t="str">
        <f t="shared" si="4"/>
        <v/>
      </c>
      <c r="Q23" s="205" t="str">
        <f t="shared" si="5"/>
        <v/>
      </c>
      <c r="R23" s="209"/>
      <c r="S23" s="195"/>
      <c r="T23" s="225" t="str">
        <f t="shared" si="7"/>
        <v/>
      </c>
      <c r="U23" s="225"/>
      <c r="V23" s="225" t="str">
        <f t="shared" si="8"/>
        <v/>
      </c>
      <c r="W23" s="232"/>
      <c r="X23" s="195"/>
    </row>
    <row r="24" spans="2:24" s="55" customFormat="1" ht="25" customHeight="1" x14ac:dyDescent="0.2">
      <c r="B24" s="201"/>
      <c r="C24" s="197" t="s">
        <v>204</v>
      </c>
      <c r="D24" s="109" t="str">
        <f>IF($C$2&lt;30,"Yes","No")</f>
        <v>Yes</v>
      </c>
      <c r="E24" s="20">
        <f>ROUND((1*C2),1)</f>
        <v>3.5</v>
      </c>
      <c r="F24" s="102" t="s">
        <v>216</v>
      </c>
      <c r="G24" s="208">
        <v>50</v>
      </c>
      <c r="H24" s="20">
        <f>IFERROR(ROUND((($E24/$G24))/$C$2,2),"")</f>
        <v>0.02</v>
      </c>
      <c r="I24" s="213" t="s">
        <v>219</v>
      </c>
      <c r="J24" s="20">
        <v>0.02</v>
      </c>
      <c r="K24" s="102" t="str">
        <f t="shared" si="0"/>
        <v>to</v>
      </c>
      <c r="L24" s="102">
        <v>0.06</v>
      </c>
      <c r="M24" s="213" t="str">
        <f t="shared" si="1"/>
        <v>units/kg/hour</v>
      </c>
      <c r="N24" s="212">
        <f t="shared" si="2"/>
        <v>1</v>
      </c>
      <c r="O24" s="205" t="str">
        <f t="shared" si="3"/>
        <v>to</v>
      </c>
      <c r="P24" s="102">
        <f t="shared" si="4"/>
        <v>3</v>
      </c>
      <c r="Q24" s="102" t="str">
        <f t="shared" si="5"/>
        <v>mL/hr</v>
      </c>
      <c r="R24" s="208">
        <v>2</v>
      </c>
      <c r="S24" s="190"/>
      <c r="T24" s="18" t="str">
        <f t="shared" si="7"/>
        <v>1 - 3 mL/hr</v>
      </c>
      <c r="U24" s="18" t="str">
        <f>E24&amp;" units diluted to "&amp;G24&amp;" mL"</f>
        <v>3.5 units diluted to 50 mL</v>
      </c>
      <c r="V24" s="240" t="str">
        <f t="shared" si="8"/>
        <v>1ml/hr = 0.02 units/kg/hour</v>
      </c>
      <c r="W24" s="241" t="str">
        <f>"@0.02 - 0.06 units/kg/HOUR"</f>
        <v>@0.02 - 0.06 units/kg/HOUR</v>
      </c>
      <c r="X24" s="190" t="s">
        <v>223</v>
      </c>
    </row>
    <row r="25" spans="2:24" s="55" customFormat="1" ht="25" customHeight="1" x14ac:dyDescent="0.2">
      <c r="B25" s="201"/>
      <c r="C25" s="197" t="s">
        <v>212</v>
      </c>
      <c r="D25" s="109" t="str">
        <f>IF($C$2&gt;=30,"Yes","No")</f>
        <v>No</v>
      </c>
      <c r="E25" s="217">
        <v>40</v>
      </c>
      <c r="F25" s="102" t="s">
        <v>216</v>
      </c>
      <c r="G25" s="218">
        <v>40</v>
      </c>
      <c r="H25" s="20">
        <v>1</v>
      </c>
      <c r="I25" s="213" t="s">
        <v>217</v>
      </c>
      <c r="J25" s="217">
        <v>0.5</v>
      </c>
      <c r="K25" s="102" t="str">
        <f t="shared" si="0"/>
        <v>to</v>
      </c>
      <c r="L25" s="221">
        <v>2</v>
      </c>
      <c r="M25" s="213" t="str">
        <f t="shared" si="1"/>
        <v>unit/hour</v>
      </c>
      <c r="N25" s="217">
        <v>0.5</v>
      </c>
      <c r="O25" s="205" t="str">
        <f t="shared" si="3"/>
        <v>to</v>
      </c>
      <c r="P25" s="221">
        <v>2</v>
      </c>
      <c r="Q25" s="102" t="str">
        <f t="shared" si="5"/>
        <v>mL/hr</v>
      </c>
      <c r="R25" s="208">
        <v>2</v>
      </c>
      <c r="S25" s="190"/>
      <c r="T25" s="18" t="str">
        <f t="shared" si="7"/>
        <v>0.5 - 2 mL/hr</v>
      </c>
      <c r="U25" s="18" t="str">
        <f>E25&amp;" units diluted to "&amp;G25&amp;" mL"</f>
        <v>40 units diluted to 40 mL</v>
      </c>
      <c r="V25" s="240" t="str">
        <f t="shared" si="8"/>
        <v>1ml/hr = 1 unit/hour</v>
      </c>
      <c r="W25" s="241" t="str">
        <f>"@0.5 - 2 units/HOUR"</f>
        <v>@0.5 - 2 units/HOUR</v>
      </c>
      <c r="X25" s="190"/>
    </row>
    <row r="26" spans="2:24" s="55" customFormat="1" ht="25" customHeight="1" x14ac:dyDescent="0.2">
      <c r="B26" s="202" t="s">
        <v>87</v>
      </c>
      <c r="C26" s="198"/>
      <c r="D26" s="688"/>
      <c r="E26" s="212"/>
      <c r="F26" s="205"/>
      <c r="G26" s="209"/>
      <c r="H26" s="20" t="str">
        <f t="shared" si="6"/>
        <v/>
      </c>
      <c r="I26" s="209" t="str">
        <f t="shared" si="9"/>
        <v/>
      </c>
      <c r="J26" s="212"/>
      <c r="K26" s="205" t="str">
        <f t="shared" si="0"/>
        <v/>
      </c>
      <c r="L26" s="205"/>
      <c r="M26" s="209" t="str">
        <f t="shared" si="1"/>
        <v/>
      </c>
      <c r="N26" s="212" t="str">
        <f t="shared" si="2"/>
        <v/>
      </c>
      <c r="O26" s="205" t="str">
        <f t="shared" si="3"/>
        <v/>
      </c>
      <c r="P26" s="205" t="str">
        <f t="shared" si="4"/>
        <v/>
      </c>
      <c r="Q26" s="205" t="str">
        <f t="shared" si="5"/>
        <v/>
      </c>
      <c r="R26" s="209"/>
      <c r="S26" s="195"/>
      <c r="T26" s="225" t="str">
        <f t="shared" si="7"/>
        <v/>
      </c>
      <c r="U26" s="225"/>
      <c r="V26" s="225" t="str">
        <f t="shared" si="8"/>
        <v/>
      </c>
      <c r="W26" s="232"/>
      <c r="X26" s="195"/>
    </row>
    <row r="27" spans="2:24" s="55" customFormat="1" ht="25" customHeight="1" x14ac:dyDescent="0.2">
      <c r="B27" s="201"/>
      <c r="C27" s="197" t="s">
        <v>204</v>
      </c>
      <c r="D27" s="109" t="str">
        <f>IF($C$2&lt;30,"Yes","No")</f>
        <v>Yes</v>
      </c>
      <c r="E27" s="20">
        <f>ROUND((3*$C$2),1)</f>
        <v>10.5</v>
      </c>
      <c r="F27" s="102" t="s">
        <v>7</v>
      </c>
      <c r="G27" s="208">
        <v>50</v>
      </c>
      <c r="H27" s="20">
        <f t="shared" si="6"/>
        <v>1</v>
      </c>
      <c r="I27" s="209" t="str">
        <f>IFERROR(IF($F27="mg","micrograms/kg/min",IF($F27="micrograms","nanogram/kg/min","")),"")</f>
        <v>micrograms/kg/min</v>
      </c>
      <c r="J27" s="20">
        <v>1</v>
      </c>
      <c r="K27" s="102" t="str">
        <f t="shared" si="0"/>
        <v>to</v>
      </c>
      <c r="L27" s="102">
        <v>4</v>
      </c>
      <c r="M27" s="208" t="str">
        <f t="shared" si="1"/>
        <v>micrograms/kg/min</v>
      </c>
      <c r="N27" s="212">
        <f t="shared" si="2"/>
        <v>1</v>
      </c>
      <c r="O27" s="205" t="str">
        <f t="shared" si="3"/>
        <v>to</v>
      </c>
      <c r="P27" s="102">
        <f t="shared" si="4"/>
        <v>4</v>
      </c>
      <c r="Q27" s="102" t="str">
        <f t="shared" si="5"/>
        <v>mL/hr</v>
      </c>
      <c r="R27" s="208">
        <v>2</v>
      </c>
      <c r="S27" s="190"/>
      <c r="T27" s="18" t="str">
        <f t="shared" si="7"/>
        <v>1 - 4 mL/hr</v>
      </c>
      <c r="U27" s="18" t="str">
        <f>E27&amp;" mg diluted to "&amp;G27&amp;" mL"</f>
        <v>10.5 mg diluted to 50 mL</v>
      </c>
      <c r="V27" s="18" t="str">
        <f t="shared" si="8"/>
        <v>1ml/hr = 1 micrograms/kg/min</v>
      </c>
      <c r="W27" s="19" t="str">
        <f>"@1 - 4 micrograms/kg/min"</f>
        <v>@1 - 4 micrograms/kg/min</v>
      </c>
      <c r="X27" s="190" t="s">
        <v>223</v>
      </c>
    </row>
    <row r="28" spans="2:24" s="55" customFormat="1" ht="25" customHeight="1" x14ac:dyDescent="0.2">
      <c r="B28" s="201"/>
      <c r="C28" s="197" t="s">
        <v>212</v>
      </c>
      <c r="D28" s="109" t="str">
        <f>IF($C$2&gt;=30,"Yes","No")</f>
        <v>No</v>
      </c>
      <c r="E28" s="217">
        <v>30</v>
      </c>
      <c r="F28" s="102" t="s">
        <v>7</v>
      </c>
      <c r="G28" s="218">
        <v>60</v>
      </c>
      <c r="H28" s="20">
        <v>0.5</v>
      </c>
      <c r="I28" s="213" t="s">
        <v>218</v>
      </c>
      <c r="J28" s="217">
        <v>0.5</v>
      </c>
      <c r="K28" s="102" t="str">
        <f t="shared" si="0"/>
        <v>to</v>
      </c>
      <c r="L28" s="221">
        <v>2</v>
      </c>
      <c r="M28" s="213" t="s">
        <v>218</v>
      </c>
      <c r="N28" s="217">
        <v>1</v>
      </c>
      <c r="O28" s="205" t="str">
        <f t="shared" si="3"/>
        <v>to</v>
      </c>
      <c r="P28" s="221">
        <v>4</v>
      </c>
      <c r="Q28" s="223" t="str">
        <f t="shared" si="5"/>
        <v>mL/hr</v>
      </c>
      <c r="R28" s="208">
        <v>1</v>
      </c>
      <c r="S28" s="190"/>
      <c r="T28" s="18" t="str">
        <f t="shared" si="7"/>
        <v>1 - 4 mL/hr</v>
      </c>
      <c r="U28" s="18" t="str">
        <f>E28&amp;" mg diluted to "&amp;G28&amp;" mL"</f>
        <v>30 mg diluted to 60 mL</v>
      </c>
      <c r="V28" s="240" t="str">
        <f t="shared" si="8"/>
        <v>1ml/hr = 0.5 mg/hour</v>
      </c>
      <c r="W28" s="241" t="str">
        <f>"@0.5 - 2 mg/HOUR"</f>
        <v>@0.5 - 2 mg/HOUR</v>
      </c>
      <c r="X28" s="190"/>
    </row>
    <row r="29" spans="2:24" s="55" customFormat="1" ht="25" customHeight="1" x14ac:dyDescent="0.2">
      <c r="B29" s="202" t="s">
        <v>93</v>
      </c>
      <c r="C29" s="198"/>
      <c r="D29" s="688"/>
      <c r="E29" s="212"/>
      <c r="F29" s="205"/>
      <c r="G29" s="209"/>
      <c r="H29" s="20" t="str">
        <f t="shared" si="6"/>
        <v/>
      </c>
      <c r="I29" s="209" t="str">
        <f t="shared" si="9"/>
        <v/>
      </c>
      <c r="J29" s="212"/>
      <c r="K29" s="205" t="str">
        <f t="shared" si="0"/>
        <v/>
      </c>
      <c r="L29" s="205"/>
      <c r="M29" s="209" t="str">
        <f t="shared" si="1"/>
        <v/>
      </c>
      <c r="N29" s="212" t="str">
        <f t="shared" si="2"/>
        <v/>
      </c>
      <c r="O29" s="205" t="str">
        <f t="shared" si="3"/>
        <v/>
      </c>
      <c r="P29" s="205" t="str">
        <f t="shared" si="4"/>
        <v/>
      </c>
      <c r="Q29" s="205" t="str">
        <f t="shared" si="5"/>
        <v/>
      </c>
      <c r="R29" s="209"/>
      <c r="S29" s="195"/>
      <c r="T29" s="225" t="str">
        <f t="shared" si="7"/>
        <v/>
      </c>
      <c r="U29" s="225"/>
      <c r="V29" s="225" t="str">
        <f t="shared" si="8"/>
        <v/>
      </c>
      <c r="W29" s="232"/>
      <c r="X29" s="195"/>
    </row>
    <row r="30" spans="2:24" s="55" customFormat="1" ht="25" customHeight="1" x14ac:dyDescent="0.2">
      <c r="B30" s="201"/>
      <c r="C30" s="197" t="s">
        <v>204</v>
      </c>
      <c r="D30" s="109" t="str">
        <f>IF($C$2&lt;30,"Yes","No")</f>
        <v>Yes</v>
      </c>
      <c r="E30" s="20">
        <f>ROUND(C2,1)</f>
        <v>3.5</v>
      </c>
      <c r="F30" s="102" t="s">
        <v>7</v>
      </c>
      <c r="G30" s="208">
        <v>50</v>
      </c>
      <c r="H30" s="20">
        <f>IFERROR(ROUND((($E30/$G30)*1000)/$C$2,2),"")</f>
        <v>20</v>
      </c>
      <c r="I30" s="222" t="s">
        <v>227</v>
      </c>
      <c r="J30" s="20">
        <v>10</v>
      </c>
      <c r="K30" s="102" t="str">
        <f t="shared" si="0"/>
        <v>to</v>
      </c>
      <c r="L30" s="102">
        <v>40</v>
      </c>
      <c r="M30" s="222" t="s">
        <v>227</v>
      </c>
      <c r="N30" s="212">
        <f t="shared" si="2"/>
        <v>0.5</v>
      </c>
      <c r="O30" s="205" t="str">
        <f t="shared" si="3"/>
        <v>to</v>
      </c>
      <c r="P30" s="102">
        <f t="shared" si="4"/>
        <v>2</v>
      </c>
      <c r="Q30" s="102" t="str">
        <f t="shared" si="5"/>
        <v>mL/hr</v>
      </c>
      <c r="R30" s="208">
        <v>2</v>
      </c>
      <c r="S30" s="190"/>
      <c r="T30" s="18" t="str">
        <f t="shared" si="7"/>
        <v>0.5 - 2 mL/hr</v>
      </c>
      <c r="U30" s="18" t="str">
        <f>E30&amp;" mg diluted to "&amp;G30&amp;" mL"</f>
        <v>3.5 mg diluted to 50 mL</v>
      </c>
      <c r="V30" s="18" t="str">
        <f t="shared" si="8"/>
        <v>1ml/hr = 20 micrograms/kg/hour</v>
      </c>
      <c r="W30" s="19" t="str">
        <f>"@10 - 40 micrograms/kg/HOUR"</f>
        <v>@10 - 40 micrograms/kg/HOUR</v>
      </c>
      <c r="X30" s="190" t="s">
        <v>223</v>
      </c>
    </row>
    <row r="31" spans="2:24" s="55" customFormat="1" ht="25" customHeight="1" x14ac:dyDescent="0.2">
      <c r="B31" s="201"/>
      <c r="C31" s="197" t="s">
        <v>212</v>
      </c>
      <c r="D31" s="109" t="str">
        <f>IF($C$2&gt;=30,"Yes","No")</f>
        <v>No</v>
      </c>
      <c r="E31" s="217">
        <v>60</v>
      </c>
      <c r="F31" s="102" t="s">
        <v>7</v>
      </c>
      <c r="G31" s="218">
        <v>60</v>
      </c>
      <c r="H31" s="20">
        <v>1</v>
      </c>
      <c r="I31" s="213" t="s">
        <v>218</v>
      </c>
      <c r="J31" s="217">
        <v>1</v>
      </c>
      <c r="K31" s="102" t="str">
        <f t="shared" si="0"/>
        <v>to</v>
      </c>
      <c r="L31" s="221">
        <v>4</v>
      </c>
      <c r="M31" s="213" t="str">
        <f t="shared" si="1"/>
        <v>mg/hour</v>
      </c>
      <c r="N31" s="217">
        <v>1</v>
      </c>
      <c r="O31" s="205" t="s">
        <v>192</v>
      </c>
      <c r="P31" s="221">
        <v>4</v>
      </c>
      <c r="Q31" s="223" t="str">
        <f t="shared" si="5"/>
        <v>mL/hr</v>
      </c>
      <c r="R31" s="208">
        <v>2</v>
      </c>
      <c r="S31" s="190"/>
      <c r="T31" s="18" t="str">
        <f t="shared" si="7"/>
        <v>1 - 4 mL/hr</v>
      </c>
      <c r="U31" s="18" t="str">
        <f>E31&amp;" mg diluted to "&amp;G31&amp;" mL"</f>
        <v>60 mg diluted to 60 mL</v>
      </c>
      <c r="V31" s="240" t="str">
        <f t="shared" si="8"/>
        <v>1ml/hr = 1 mg/hour</v>
      </c>
      <c r="W31" s="241" t="str">
        <f>"@1 - 4 mg/HOUR"</f>
        <v>@1 - 4 mg/HOUR</v>
      </c>
      <c r="X31" s="190"/>
    </row>
    <row r="32" spans="2:24" s="55" customFormat="1" ht="25" customHeight="1" x14ac:dyDescent="0.2">
      <c r="B32" s="202" t="s">
        <v>85</v>
      </c>
      <c r="C32" s="198"/>
      <c r="D32" s="688"/>
      <c r="E32" s="212"/>
      <c r="F32" s="205"/>
      <c r="G32" s="209"/>
      <c r="H32" s="20" t="str">
        <f t="shared" si="6"/>
        <v/>
      </c>
      <c r="I32" s="209" t="str">
        <f t="shared" si="9"/>
        <v/>
      </c>
      <c r="J32" s="212"/>
      <c r="K32" s="205" t="str">
        <f t="shared" si="0"/>
        <v/>
      </c>
      <c r="L32" s="205"/>
      <c r="M32" s="209" t="str">
        <f t="shared" si="1"/>
        <v/>
      </c>
      <c r="N32" s="212" t="str">
        <f t="shared" si="2"/>
        <v/>
      </c>
      <c r="O32" s="205" t="str">
        <f t="shared" si="3"/>
        <v/>
      </c>
      <c r="P32" s="205" t="str">
        <f t="shared" si="4"/>
        <v/>
      </c>
      <c r="Q32" s="205" t="str">
        <f t="shared" si="5"/>
        <v/>
      </c>
      <c r="R32" s="209"/>
      <c r="S32" s="195"/>
      <c r="T32" s="225" t="str">
        <f t="shared" si="7"/>
        <v/>
      </c>
      <c r="U32" s="225"/>
      <c r="V32" s="225" t="str">
        <f t="shared" si="8"/>
        <v/>
      </c>
      <c r="W32" s="232"/>
      <c r="X32" s="195"/>
    </row>
    <row r="33" spans="2:24" s="55" customFormat="1" ht="25" customHeight="1" x14ac:dyDescent="0.2">
      <c r="B33" s="201"/>
      <c r="C33" s="197" t="s">
        <v>206</v>
      </c>
      <c r="D33" s="109" t="str">
        <f>IF($C$2&lt;10,"Yes","No")</f>
        <v>Yes</v>
      </c>
      <c r="E33" s="20">
        <f>ROUND((50*C2),1)</f>
        <v>175</v>
      </c>
      <c r="F33" s="102" t="s">
        <v>8</v>
      </c>
      <c r="G33" s="208">
        <v>50</v>
      </c>
      <c r="H33" s="20">
        <f>IFERROR(ROUND((($E33/$G33))/$C$2,2),"")</f>
        <v>1</v>
      </c>
      <c r="I33" s="222" t="s">
        <v>227</v>
      </c>
      <c r="J33" s="20">
        <v>0</v>
      </c>
      <c r="K33" s="102" t="str">
        <f t="shared" si="0"/>
        <v>to</v>
      </c>
      <c r="L33" s="102">
        <v>3</v>
      </c>
      <c r="M33" s="222" t="str">
        <f t="shared" si="1"/>
        <v>micrograms/kg/hour</v>
      </c>
      <c r="N33" s="212">
        <f t="shared" si="2"/>
        <v>0</v>
      </c>
      <c r="O33" s="205" t="str">
        <f t="shared" si="3"/>
        <v>to</v>
      </c>
      <c r="P33" s="102">
        <f t="shared" si="4"/>
        <v>3</v>
      </c>
      <c r="Q33" s="102" t="str">
        <f t="shared" si="5"/>
        <v>mL/hr</v>
      </c>
      <c r="R33" s="208">
        <v>2</v>
      </c>
      <c r="S33" s="190"/>
      <c r="T33" s="18" t="str">
        <f t="shared" si="7"/>
        <v>0 - 3 mL/hr</v>
      </c>
      <c r="U33" s="18" t="str">
        <f>E33&amp;" micrograms diluted to "&amp;G33&amp;" mL N/Saline"</f>
        <v>175 micrograms diluted to 50 mL N/Saline</v>
      </c>
      <c r="V33" s="240" t="str">
        <f t="shared" si="8"/>
        <v>1ml/hr = 1 micrograms/kg/hour</v>
      </c>
      <c r="W33" s="241" t="str">
        <f>"@0 - 3 micrograms/kg/HOUR"</f>
        <v>@0 - 3 micrograms/kg/HOUR</v>
      </c>
      <c r="X33" s="190" t="s">
        <v>223</v>
      </c>
    </row>
    <row r="34" spans="2:24" s="55" customFormat="1" ht="25" customHeight="1" x14ac:dyDescent="0.2">
      <c r="B34" s="201"/>
      <c r="C34" s="197" t="s">
        <v>213</v>
      </c>
      <c r="D34" s="109" t="str">
        <f>IF(C2&gt;=10,"Yes","No")</f>
        <v>No</v>
      </c>
      <c r="E34" s="20">
        <f>ROUND((25*C2),1)</f>
        <v>87.5</v>
      </c>
      <c r="F34" s="102" t="s">
        <v>8</v>
      </c>
      <c r="G34" s="208">
        <v>50</v>
      </c>
      <c r="H34" s="20">
        <f>IFERROR(ROUND((($E34/$G34))/$C$2,2),"")</f>
        <v>0.5</v>
      </c>
      <c r="I34" s="222" t="s">
        <v>227</v>
      </c>
      <c r="J34" s="20">
        <v>0</v>
      </c>
      <c r="K34" s="102" t="s">
        <v>192</v>
      </c>
      <c r="L34" s="102">
        <v>3</v>
      </c>
      <c r="M34" s="222" t="str">
        <f t="shared" si="1"/>
        <v>micrograms/kg/hour</v>
      </c>
      <c r="N34" s="212">
        <f t="shared" si="2"/>
        <v>0</v>
      </c>
      <c r="O34" s="205" t="str">
        <f t="shared" si="3"/>
        <v>to</v>
      </c>
      <c r="P34" s="102">
        <f t="shared" si="4"/>
        <v>6</v>
      </c>
      <c r="Q34" s="102" t="str">
        <f t="shared" si="5"/>
        <v>mL/hr</v>
      </c>
      <c r="R34" s="208">
        <v>1</v>
      </c>
      <c r="S34" s="190"/>
      <c r="T34" s="18" t="str">
        <f t="shared" si="7"/>
        <v>0 - 6 mL/hr</v>
      </c>
      <c r="U34" s="18" t="str">
        <f>E34&amp;" micrograms diluted to "&amp;G34&amp;" mL N/Saline"</f>
        <v>87.5 micrograms diluted to 50 mL N/Saline</v>
      </c>
      <c r="V34" s="240" t="str">
        <f t="shared" si="8"/>
        <v>1ml/hr = 0.5 micrograms/kg/hour</v>
      </c>
      <c r="W34" s="241" t="str">
        <f>"@0 - 3 micrograms/kg/HOUR"</f>
        <v>@0 - 3 micrograms/kg/HOUR</v>
      </c>
      <c r="X34" s="190"/>
    </row>
    <row r="35" spans="2:24" s="55" customFormat="1" ht="25" customHeight="1" x14ac:dyDescent="0.2">
      <c r="B35" s="404" t="s">
        <v>443</v>
      </c>
      <c r="C35" s="198"/>
      <c r="D35" s="688"/>
      <c r="E35" s="212"/>
      <c r="F35" s="205"/>
      <c r="G35" s="209"/>
      <c r="H35" s="20" t="str">
        <f t="shared" si="6"/>
        <v/>
      </c>
      <c r="I35" s="209" t="str">
        <f t="shared" si="9"/>
        <v/>
      </c>
      <c r="J35" s="212"/>
      <c r="K35" s="205" t="str">
        <f t="shared" si="0"/>
        <v/>
      </c>
      <c r="L35" s="205"/>
      <c r="M35" s="209" t="str">
        <f t="shared" si="1"/>
        <v/>
      </c>
      <c r="N35" s="212" t="str">
        <f t="shared" si="2"/>
        <v/>
      </c>
      <c r="O35" s="205" t="str">
        <f t="shared" si="3"/>
        <v/>
      </c>
      <c r="P35" s="205" t="str">
        <f t="shared" si="4"/>
        <v/>
      </c>
      <c r="Q35" s="205" t="str">
        <f t="shared" si="5"/>
        <v/>
      </c>
      <c r="R35" s="209"/>
      <c r="S35" s="195"/>
      <c r="T35" s="225" t="str">
        <f t="shared" si="7"/>
        <v/>
      </c>
      <c r="U35" s="225"/>
      <c r="V35" s="225" t="str">
        <f t="shared" si="8"/>
        <v/>
      </c>
      <c r="W35" s="232"/>
      <c r="X35" s="195"/>
    </row>
    <row r="36" spans="2:24" s="55" customFormat="1" ht="25" customHeight="1" x14ac:dyDescent="0.2">
      <c r="B36" s="201"/>
      <c r="C36" s="197" t="s">
        <v>228</v>
      </c>
      <c r="D36" s="109" t="str">
        <f>IF(C2&lt;=10,"Yes","No")</f>
        <v>Yes</v>
      </c>
      <c r="E36" s="20">
        <f>ROUND((30*$C$2),1)</f>
        <v>105</v>
      </c>
      <c r="F36" s="102" t="s">
        <v>7</v>
      </c>
      <c r="G36" s="208">
        <v>50</v>
      </c>
      <c r="H36" s="20">
        <f t="shared" si="6"/>
        <v>10</v>
      </c>
      <c r="I36" s="209" t="str">
        <f>IFERROR(IF($F36="mg","micrograms/kg/min",IF($F36="micrograms","nanogram/kg/min","")),"")</f>
        <v>micrograms/kg/min</v>
      </c>
      <c r="J36" s="20">
        <v>5</v>
      </c>
      <c r="K36" s="102" t="str">
        <f t="shared" si="0"/>
        <v>to</v>
      </c>
      <c r="L36" s="102">
        <v>15</v>
      </c>
      <c r="M36" s="208" t="str">
        <f t="shared" si="1"/>
        <v>micrograms/kg/min</v>
      </c>
      <c r="N36" s="212">
        <f t="shared" si="2"/>
        <v>0.5</v>
      </c>
      <c r="O36" s="205" t="str">
        <f t="shared" si="3"/>
        <v>to</v>
      </c>
      <c r="P36" s="102">
        <f t="shared" si="4"/>
        <v>1.5</v>
      </c>
      <c r="Q36" s="102" t="str">
        <f t="shared" si="5"/>
        <v>mL/hr</v>
      </c>
      <c r="R36" s="208">
        <v>1</v>
      </c>
      <c r="S36" s="190"/>
      <c r="T36" s="18" t="str">
        <f t="shared" si="7"/>
        <v>0.5 - 1.5 mL/hr</v>
      </c>
      <c r="U36" s="18" t="str">
        <f>E36&amp;" mg diluted to "&amp;G36&amp;" mL D5W"</f>
        <v>105 mg diluted to 50 mL D5W</v>
      </c>
      <c r="V36" s="18" t="str">
        <f t="shared" si="8"/>
        <v>1ml/hr = 10 micrograms/kg/min</v>
      </c>
      <c r="W36" s="19" t="str">
        <f>"@5 - 15 micrograms/kg/min"</f>
        <v>@5 - 15 micrograms/kg/min</v>
      </c>
      <c r="X36" s="190" t="s">
        <v>223</v>
      </c>
    </row>
    <row r="37" spans="2:24" s="55" customFormat="1" ht="25" customHeight="1" x14ac:dyDescent="0.2">
      <c r="B37" s="201"/>
      <c r="C37" s="197" t="s">
        <v>230</v>
      </c>
      <c r="D37" s="109" t="str">
        <f>IF(C2&gt;10,IF(C2&lt;=40,"Yes","No"),"No")</f>
        <v>No</v>
      </c>
      <c r="E37" s="20">
        <f>ROUND((15*$C$2),1)</f>
        <v>52.5</v>
      </c>
      <c r="F37" s="102" t="s">
        <v>7</v>
      </c>
      <c r="G37" s="208">
        <v>50</v>
      </c>
      <c r="H37" s="20">
        <f t="shared" si="6"/>
        <v>5</v>
      </c>
      <c r="I37" s="209" t="str">
        <f>IFERROR(IF($F37="mg","micrograms/kg/min",IF($F37="micrograms","nanogram/kg/min","")),"")</f>
        <v>micrograms/kg/min</v>
      </c>
      <c r="J37" s="20">
        <v>5</v>
      </c>
      <c r="K37" s="102" t="str">
        <f t="shared" si="0"/>
        <v>to</v>
      </c>
      <c r="L37" s="102">
        <v>15</v>
      </c>
      <c r="M37" s="208" t="str">
        <f t="shared" si="1"/>
        <v>micrograms/kg/min</v>
      </c>
      <c r="N37" s="212">
        <f t="shared" si="2"/>
        <v>1</v>
      </c>
      <c r="O37" s="205" t="str">
        <f t="shared" si="3"/>
        <v>to</v>
      </c>
      <c r="P37" s="102">
        <f t="shared" si="4"/>
        <v>3</v>
      </c>
      <c r="Q37" s="102" t="str">
        <f t="shared" si="5"/>
        <v>mL/hr</v>
      </c>
      <c r="R37" s="208">
        <v>1</v>
      </c>
      <c r="S37" s="190"/>
      <c r="T37" s="18" t="str">
        <f t="shared" si="7"/>
        <v>1 - 3 mL/hr</v>
      </c>
      <c r="U37" s="18" t="str">
        <f>E37&amp;" mg diluted to "&amp;G37&amp;" mL D5W"</f>
        <v>52.5 mg diluted to 50 mL D5W</v>
      </c>
      <c r="V37" s="18" t="str">
        <f t="shared" si="8"/>
        <v>1ml/hr = 5 micrograms/kg/min</v>
      </c>
      <c r="W37" s="19" t="s">
        <v>229</v>
      </c>
      <c r="X37" s="190" t="s">
        <v>446</v>
      </c>
    </row>
    <row r="38" spans="2:24" s="55" customFormat="1" ht="25" customHeight="1" x14ac:dyDescent="0.2">
      <c r="B38" s="201"/>
      <c r="C38" s="197" t="s">
        <v>208</v>
      </c>
      <c r="D38" s="109" t="str">
        <f>IF(C2&gt;40,"Yes","No")</f>
        <v>No</v>
      </c>
      <c r="E38" s="20">
        <f>ROUND((7.5*$C$2),1)</f>
        <v>26.3</v>
      </c>
      <c r="F38" s="102" t="s">
        <v>7</v>
      </c>
      <c r="G38" s="208">
        <v>50</v>
      </c>
      <c r="H38" s="20">
        <f t="shared" si="6"/>
        <v>2.5</v>
      </c>
      <c r="I38" s="209" t="str">
        <f>IFERROR(IF($F38="mg","micrograms/kg/min",IF($F38="micrograms","nanogram/kg/min","")),"")</f>
        <v>micrograms/kg/min</v>
      </c>
      <c r="J38" s="20">
        <v>5</v>
      </c>
      <c r="K38" s="102" t="str">
        <f t="shared" si="0"/>
        <v>to</v>
      </c>
      <c r="L38" s="102">
        <v>15</v>
      </c>
      <c r="M38" s="208" t="str">
        <f t="shared" si="1"/>
        <v>micrograms/kg/min</v>
      </c>
      <c r="N38" s="212">
        <f t="shared" si="2"/>
        <v>2</v>
      </c>
      <c r="O38" s="205" t="str">
        <f t="shared" si="3"/>
        <v>to</v>
      </c>
      <c r="P38" s="102">
        <f t="shared" si="4"/>
        <v>6</v>
      </c>
      <c r="Q38" s="102" t="str">
        <f t="shared" si="5"/>
        <v>mL/hr</v>
      </c>
      <c r="R38" s="208">
        <v>1</v>
      </c>
      <c r="S38" s="190"/>
      <c r="T38" s="18" t="str">
        <f t="shared" si="7"/>
        <v>2 - 6 mL/hr</v>
      </c>
      <c r="U38" s="18" t="str">
        <f>E38&amp;" mg diluted to "&amp;G38&amp;" mL D5W"</f>
        <v>26.3 mg diluted to 50 mL D5W</v>
      </c>
      <c r="V38" s="18" t="str">
        <f t="shared" si="8"/>
        <v>1ml/hr = 2.5 micrograms/kg/min</v>
      </c>
      <c r="W38" s="19" t="s">
        <v>229</v>
      </c>
      <c r="X38" s="190"/>
    </row>
    <row r="39" spans="2:24" s="55" customFormat="1" ht="25" customHeight="1" x14ac:dyDescent="0.2">
      <c r="B39" s="202" t="s">
        <v>209</v>
      </c>
      <c r="C39" s="198"/>
      <c r="D39" s="688"/>
      <c r="E39" s="212"/>
      <c r="F39" s="205"/>
      <c r="G39" s="209"/>
      <c r="H39" s="20" t="str">
        <f t="shared" si="6"/>
        <v/>
      </c>
      <c r="I39" s="209" t="str">
        <f t="shared" si="9"/>
        <v/>
      </c>
      <c r="J39" s="212"/>
      <c r="K39" s="205" t="str">
        <f t="shared" si="0"/>
        <v/>
      </c>
      <c r="L39" s="205"/>
      <c r="M39" s="209" t="str">
        <f t="shared" si="1"/>
        <v/>
      </c>
      <c r="N39" s="212" t="str">
        <f t="shared" si="2"/>
        <v/>
      </c>
      <c r="O39" s="205" t="str">
        <f t="shared" si="3"/>
        <v/>
      </c>
      <c r="P39" s="205" t="str">
        <f t="shared" si="4"/>
        <v/>
      </c>
      <c r="Q39" s="205" t="str">
        <f t="shared" si="5"/>
        <v/>
      </c>
      <c r="R39" s="209"/>
      <c r="S39" s="195"/>
      <c r="T39" s="225" t="str">
        <f t="shared" si="7"/>
        <v/>
      </c>
      <c r="U39" s="225"/>
      <c r="V39" s="225" t="str">
        <f t="shared" si="8"/>
        <v/>
      </c>
      <c r="W39" s="232"/>
      <c r="X39" s="195"/>
    </row>
    <row r="40" spans="2:24" s="55" customFormat="1" ht="25" customHeight="1" x14ac:dyDescent="0.2">
      <c r="B40" s="201"/>
      <c r="C40" s="197" t="s">
        <v>768</v>
      </c>
      <c r="D40" s="109" t="str">
        <f>IF($C$2&gt;2.5,"Yes","No")</f>
        <v>Yes</v>
      </c>
      <c r="E40" s="20">
        <f>ROUND((30*$C$2),1)</f>
        <v>105</v>
      </c>
      <c r="F40" s="102" t="s">
        <v>8</v>
      </c>
      <c r="G40" s="208">
        <v>50</v>
      </c>
      <c r="H40" s="20">
        <f t="shared" si="6"/>
        <v>10</v>
      </c>
      <c r="I40" s="209" t="str">
        <f>IFERROR(IF($F40="mg","microgram/kg/min",IF($F40="micrograms","nanograms/kg/min","")),"")</f>
        <v>nanograms/kg/min</v>
      </c>
      <c r="J40" s="20">
        <v>5</v>
      </c>
      <c r="K40" s="102" t="str">
        <f t="shared" si="0"/>
        <v>to</v>
      </c>
      <c r="L40" s="102">
        <v>50</v>
      </c>
      <c r="M40" s="208" t="str">
        <f t="shared" si="1"/>
        <v>nanograms/kg/min</v>
      </c>
      <c r="N40" s="212">
        <f t="shared" si="2"/>
        <v>0.5</v>
      </c>
      <c r="O40" s="205" t="str">
        <f t="shared" si="3"/>
        <v>to</v>
      </c>
      <c r="P40" s="102">
        <f t="shared" si="4"/>
        <v>5</v>
      </c>
      <c r="Q40" s="102" t="str">
        <f t="shared" si="5"/>
        <v>mL/hr</v>
      </c>
      <c r="R40" s="208">
        <v>2</v>
      </c>
      <c r="S40" s="190"/>
      <c r="T40" s="18" t="str">
        <f t="shared" si="7"/>
        <v>0.5 - 5 mL/hr</v>
      </c>
      <c r="U40" s="18" t="str">
        <f>E40&amp;" micrograms diluted to "&amp;G40&amp;" mL"</f>
        <v>105 micrograms diluted to 50 mL</v>
      </c>
      <c r="V40" s="18" t="str">
        <f t="shared" si="8"/>
        <v>1ml/hr = 10 nanograms/kg/min</v>
      </c>
      <c r="W40" s="19" t="str">
        <f>"@5 - 50 NANOgrams/kg/min"</f>
        <v>@5 - 50 NANOgrams/kg/min</v>
      </c>
      <c r="X40" s="190" t="s">
        <v>225</v>
      </c>
    </row>
    <row r="41" spans="2:24" s="55" customFormat="1" ht="25" customHeight="1" x14ac:dyDescent="0.2">
      <c r="B41" s="202" t="s">
        <v>96</v>
      </c>
      <c r="C41" s="198"/>
      <c r="D41" s="688"/>
      <c r="E41" s="212"/>
      <c r="F41" s="205"/>
      <c r="G41" s="209"/>
      <c r="H41" s="20" t="str">
        <f t="shared" si="6"/>
        <v/>
      </c>
      <c r="I41" s="209" t="str">
        <f t="shared" si="9"/>
        <v/>
      </c>
      <c r="J41" s="212"/>
      <c r="K41" s="205" t="str">
        <f t="shared" si="0"/>
        <v/>
      </c>
      <c r="L41" s="205"/>
      <c r="M41" s="209" t="str">
        <f t="shared" si="1"/>
        <v/>
      </c>
      <c r="N41" s="212" t="str">
        <f t="shared" si="2"/>
        <v/>
      </c>
      <c r="O41" s="205" t="str">
        <f t="shared" si="3"/>
        <v/>
      </c>
      <c r="P41" s="205" t="str">
        <f t="shared" si="4"/>
        <v/>
      </c>
      <c r="Q41" s="205" t="str">
        <f t="shared" si="5"/>
        <v/>
      </c>
      <c r="R41" s="209"/>
      <c r="S41" s="195"/>
      <c r="T41" s="225" t="str">
        <f t="shared" si="7"/>
        <v/>
      </c>
      <c r="U41" s="225"/>
      <c r="V41" s="225" t="str">
        <f t="shared" si="8"/>
        <v/>
      </c>
      <c r="W41" s="232"/>
      <c r="X41" s="195"/>
    </row>
    <row r="42" spans="2:24" s="55" customFormat="1" ht="25" customHeight="1" x14ac:dyDescent="0.2">
      <c r="B42" s="201"/>
      <c r="C42" s="197" t="s">
        <v>220</v>
      </c>
      <c r="D42" s="109" t="str">
        <f>IF($C$2&lt;30,"Yes","No")</f>
        <v>Yes</v>
      </c>
      <c r="E42" s="20">
        <f>ROUND((3*$C$2),1)</f>
        <v>10.5</v>
      </c>
      <c r="F42" s="102" t="s">
        <v>7</v>
      </c>
      <c r="G42" s="208">
        <v>50</v>
      </c>
      <c r="H42" s="20">
        <f t="shared" si="6"/>
        <v>1</v>
      </c>
      <c r="I42" s="209" t="str">
        <f>IFERROR(IF($F42="mg","micrograms/kg/min",IF($F42="micrograms","nanograms/kg/min","")),"")</f>
        <v>micrograms/kg/min</v>
      </c>
      <c r="J42" s="20">
        <v>1</v>
      </c>
      <c r="K42" s="102" t="str">
        <f t="shared" si="0"/>
        <v>to</v>
      </c>
      <c r="L42" s="102">
        <v>4</v>
      </c>
      <c r="M42" s="208" t="str">
        <f t="shared" si="1"/>
        <v>micrograms/kg/min</v>
      </c>
      <c r="N42" s="212">
        <f t="shared" si="2"/>
        <v>1</v>
      </c>
      <c r="O42" s="205" t="str">
        <f t="shared" si="3"/>
        <v>to</v>
      </c>
      <c r="P42" s="102">
        <f t="shared" si="4"/>
        <v>4</v>
      </c>
      <c r="Q42" s="102" t="str">
        <f t="shared" si="5"/>
        <v>mL/hr</v>
      </c>
      <c r="R42" s="208">
        <v>1</v>
      </c>
      <c r="S42" s="190"/>
      <c r="T42" s="18" t="str">
        <f t="shared" si="7"/>
        <v>1 - 4 mL/hr</v>
      </c>
      <c r="U42" s="18" t="str">
        <f>E42&amp;" mg diluted to "&amp;G42&amp;" mL"</f>
        <v>10.5 mg diluted to 50 mL</v>
      </c>
      <c r="V42" s="18" t="str">
        <f t="shared" si="8"/>
        <v>1ml/hr = 1 micrograms/kg/min</v>
      </c>
      <c r="W42" s="19" t="str">
        <f>"@1 - 4 micrograms/kg/min"</f>
        <v>@1 - 4 micrograms/kg/min</v>
      </c>
      <c r="X42" s="190" t="s">
        <v>223</v>
      </c>
    </row>
    <row r="43" spans="2:24" s="55" customFormat="1" ht="25" customHeight="1" x14ac:dyDescent="0.2">
      <c r="B43" s="201"/>
      <c r="C43" s="197"/>
      <c r="D43" s="109"/>
      <c r="E43" s="20"/>
      <c r="F43" s="102"/>
      <c r="G43" s="208"/>
      <c r="H43" s="20" t="str">
        <f t="shared" si="6"/>
        <v/>
      </c>
      <c r="I43" s="209" t="str">
        <f>IFERROR(IF($F43="mg","micrograms/kg/min",IF($F43="micrograms","nanograms/kg/min","")),"")</f>
        <v/>
      </c>
      <c r="J43" s="20"/>
      <c r="K43" s="102" t="str">
        <f t="shared" si="0"/>
        <v/>
      </c>
      <c r="L43" s="102"/>
      <c r="M43" s="208" t="str">
        <f t="shared" si="1"/>
        <v/>
      </c>
      <c r="N43" s="212" t="str">
        <f t="shared" si="2"/>
        <v/>
      </c>
      <c r="O43" s="205" t="str">
        <f t="shared" si="3"/>
        <v/>
      </c>
      <c r="P43" s="102" t="str">
        <f t="shared" si="4"/>
        <v/>
      </c>
      <c r="Q43" s="102" t="str">
        <f t="shared" si="5"/>
        <v/>
      </c>
      <c r="R43" s="208"/>
      <c r="S43" s="190"/>
      <c r="T43" s="18" t="str">
        <f t="shared" si="7"/>
        <v/>
      </c>
      <c r="U43" s="18"/>
      <c r="V43" s="18" t="str">
        <f t="shared" si="8"/>
        <v/>
      </c>
      <c r="W43" s="19"/>
      <c r="X43" s="190"/>
    </row>
    <row r="44" spans="2:24" s="55" customFormat="1" ht="25" customHeight="1" x14ac:dyDescent="0.2">
      <c r="B44" s="202" t="s">
        <v>86</v>
      </c>
      <c r="C44" s="198"/>
      <c r="D44" s="688"/>
      <c r="E44" s="212"/>
      <c r="F44" s="205"/>
      <c r="G44" s="209"/>
      <c r="H44" s="20" t="str">
        <f t="shared" si="6"/>
        <v/>
      </c>
      <c r="I44" s="209" t="str">
        <f>IFERROR(IF($F44="mg","micrograms/kg/min",IF($F44="micrograms","nanograms/kg/min","")),"")</f>
        <v/>
      </c>
      <c r="J44" s="212"/>
      <c r="K44" s="205" t="str">
        <f t="shared" si="0"/>
        <v/>
      </c>
      <c r="L44" s="205"/>
      <c r="M44" s="209" t="str">
        <f t="shared" si="1"/>
        <v/>
      </c>
      <c r="N44" s="212" t="str">
        <f t="shared" si="2"/>
        <v/>
      </c>
      <c r="O44" s="205" t="str">
        <f t="shared" si="3"/>
        <v/>
      </c>
      <c r="P44" s="205" t="str">
        <f t="shared" si="4"/>
        <v/>
      </c>
      <c r="Q44" s="205" t="str">
        <f t="shared" si="5"/>
        <v/>
      </c>
      <c r="R44" s="209"/>
      <c r="S44" s="195"/>
      <c r="T44" s="225" t="str">
        <f t="shared" si="7"/>
        <v/>
      </c>
      <c r="U44" s="225"/>
      <c r="V44" s="225" t="str">
        <f t="shared" si="8"/>
        <v/>
      </c>
      <c r="W44" s="232"/>
      <c r="X44" s="195"/>
    </row>
    <row r="45" spans="2:24" s="55" customFormat="1" ht="25" customHeight="1" x14ac:dyDescent="0.2">
      <c r="B45" s="201"/>
      <c r="C45" s="197" t="s">
        <v>220</v>
      </c>
      <c r="D45" s="109" t="s">
        <v>14</v>
      </c>
      <c r="E45" s="20">
        <v>200</v>
      </c>
      <c r="F45" s="102" t="s">
        <v>8</v>
      </c>
      <c r="G45" s="208">
        <v>50</v>
      </c>
      <c r="H45" s="20">
        <f>IFERROR(ROUND((($E45/$G45))/$C$2,2),"")</f>
        <v>1.1399999999999999</v>
      </c>
      <c r="I45" s="209" t="s">
        <v>227</v>
      </c>
      <c r="J45" s="20">
        <v>0.2</v>
      </c>
      <c r="K45" s="102" t="str">
        <f t="shared" si="0"/>
        <v>to</v>
      </c>
      <c r="L45" s="102">
        <v>1</v>
      </c>
      <c r="M45" s="208" t="str">
        <f t="shared" si="1"/>
        <v>micrograms/kg/hour</v>
      </c>
      <c r="N45" s="212">
        <f t="shared" si="2"/>
        <v>0.2</v>
      </c>
      <c r="O45" s="205" t="str">
        <f t="shared" si="3"/>
        <v>to</v>
      </c>
      <c r="P45" s="102">
        <f t="shared" si="4"/>
        <v>0.9</v>
      </c>
      <c r="Q45" s="102" t="str">
        <f t="shared" si="5"/>
        <v>mL/hr</v>
      </c>
      <c r="R45" s="208">
        <v>1</v>
      </c>
      <c r="S45" s="190"/>
      <c r="T45" s="18" t="str">
        <f t="shared" si="7"/>
        <v>0.2 - 0.9 mL/hr</v>
      </c>
      <c r="U45" s="18" t="str">
        <f>E45&amp;" micrograms diluted to "&amp;G45&amp;" mL N/Saline"</f>
        <v>200 micrograms diluted to 50 mL N/Saline</v>
      </c>
      <c r="V45" s="242" t="str">
        <f t="shared" si="8"/>
        <v>1ml/hr = 1.14 micrograms/kg/hour</v>
      </c>
      <c r="W45" s="243" t="str">
        <f>"@0.2 - 1 micrograms/kg/HOUR"</f>
        <v>@0.2 - 1 micrograms/kg/HOUR</v>
      </c>
      <c r="X45" s="190"/>
    </row>
    <row r="46" spans="2:24" s="55" customFormat="1" ht="25" customHeight="1" x14ac:dyDescent="0.2">
      <c r="B46" s="201"/>
      <c r="C46" s="197"/>
      <c r="D46" s="109"/>
      <c r="E46" s="20"/>
      <c r="F46" s="102"/>
      <c r="G46" s="208"/>
      <c r="H46" s="20" t="str">
        <f t="shared" si="6"/>
        <v/>
      </c>
      <c r="I46" s="209" t="str">
        <f t="shared" si="9"/>
        <v/>
      </c>
      <c r="J46" s="20"/>
      <c r="K46" s="102" t="str">
        <f t="shared" si="0"/>
        <v/>
      </c>
      <c r="L46" s="102"/>
      <c r="M46" s="208" t="str">
        <f t="shared" si="1"/>
        <v/>
      </c>
      <c r="N46" s="212" t="str">
        <f t="shared" si="2"/>
        <v/>
      </c>
      <c r="O46" s="205" t="str">
        <f t="shared" si="3"/>
        <v/>
      </c>
      <c r="P46" s="102" t="str">
        <f t="shared" si="4"/>
        <v/>
      </c>
      <c r="Q46" s="102" t="str">
        <f t="shared" si="5"/>
        <v/>
      </c>
      <c r="R46" s="208"/>
      <c r="S46" s="190"/>
      <c r="T46" s="18" t="str">
        <f t="shared" si="7"/>
        <v/>
      </c>
      <c r="U46" s="18"/>
      <c r="V46" s="18" t="str">
        <f t="shared" si="8"/>
        <v/>
      </c>
      <c r="W46" s="19"/>
      <c r="X46" s="190"/>
    </row>
    <row r="47" spans="2:24" s="55" customFormat="1" ht="25" customHeight="1" x14ac:dyDescent="0.2">
      <c r="B47" s="202" t="s">
        <v>210</v>
      </c>
      <c r="C47" s="198"/>
      <c r="D47" s="688"/>
      <c r="E47" s="212"/>
      <c r="F47" s="205"/>
      <c r="G47" s="209"/>
      <c r="H47" s="20" t="str">
        <f t="shared" si="6"/>
        <v/>
      </c>
      <c r="I47" s="209" t="str">
        <f t="shared" si="9"/>
        <v/>
      </c>
      <c r="J47" s="212"/>
      <c r="K47" s="205" t="str">
        <f t="shared" si="0"/>
        <v/>
      </c>
      <c r="L47" s="205"/>
      <c r="M47" s="209" t="str">
        <f t="shared" si="1"/>
        <v/>
      </c>
      <c r="N47" s="212" t="str">
        <f t="shared" si="2"/>
        <v/>
      </c>
      <c r="O47" s="205" t="str">
        <f t="shared" si="3"/>
        <v/>
      </c>
      <c r="P47" s="205" t="str">
        <f t="shared" si="4"/>
        <v/>
      </c>
      <c r="Q47" s="205" t="str">
        <f t="shared" si="5"/>
        <v/>
      </c>
      <c r="R47" s="209"/>
      <c r="S47" s="195"/>
      <c r="T47" s="225" t="str">
        <f t="shared" si="7"/>
        <v/>
      </c>
      <c r="U47" s="225"/>
      <c r="V47" s="225" t="str">
        <f t="shared" si="8"/>
        <v/>
      </c>
      <c r="W47" s="232"/>
      <c r="X47" s="195"/>
    </row>
    <row r="48" spans="2:24" s="55" customFormat="1" ht="25" customHeight="1" x14ac:dyDescent="0.2">
      <c r="B48" s="201"/>
      <c r="C48" s="197" t="s">
        <v>214</v>
      </c>
      <c r="D48" s="109" t="str">
        <f>IF($C$2&lt;=16,"Yes","No")</f>
        <v>Yes</v>
      </c>
      <c r="E48" s="20">
        <f>ROUND((3*$C$2),1)</f>
        <v>10.5</v>
      </c>
      <c r="F48" s="102" t="s">
        <v>7</v>
      </c>
      <c r="G48" s="208">
        <v>50</v>
      </c>
      <c r="H48" s="20">
        <f t="shared" si="6"/>
        <v>1</v>
      </c>
      <c r="I48" s="209" t="str">
        <f>IFERROR(IF($F48="mg","micrograms/kg/min",IF($F48="micrograms","nanogram/kg/min","")),"")</f>
        <v>micrograms/kg/min</v>
      </c>
      <c r="J48" s="20">
        <v>1</v>
      </c>
      <c r="K48" s="102" t="str">
        <f t="shared" si="0"/>
        <v>to</v>
      </c>
      <c r="L48" s="102">
        <v>2</v>
      </c>
      <c r="M48" s="208" t="str">
        <f t="shared" si="1"/>
        <v>micrograms/kg/min</v>
      </c>
      <c r="N48" s="212">
        <f t="shared" si="2"/>
        <v>1</v>
      </c>
      <c r="O48" s="205" t="str">
        <f t="shared" si="3"/>
        <v>to</v>
      </c>
      <c r="P48" s="102">
        <f t="shared" si="4"/>
        <v>2</v>
      </c>
      <c r="Q48" s="102" t="str">
        <f t="shared" si="5"/>
        <v>mL/hr</v>
      </c>
      <c r="R48" s="208">
        <v>1</v>
      </c>
      <c r="S48" s="190"/>
      <c r="T48" s="18" t="str">
        <f t="shared" si="7"/>
        <v>1 - 2 mL/hr</v>
      </c>
      <c r="U48" s="18" t="str">
        <f>E48&amp;" mg diluted to "&amp;G48&amp;" mL"</f>
        <v>10.5 mg diluted to 50 mL</v>
      </c>
      <c r="V48" s="18" t="str">
        <f t="shared" si="8"/>
        <v>1ml/hr = 1 micrograms/kg/min</v>
      </c>
      <c r="W48" s="19" t="str">
        <f>"@1 - 2 micrograms/kg/min"</f>
        <v>@1 - 2 micrograms/kg/min</v>
      </c>
      <c r="X48" s="190" t="s">
        <v>223</v>
      </c>
    </row>
    <row r="49" spans="2:24" s="55" customFormat="1" ht="25" customHeight="1" x14ac:dyDescent="0.2">
      <c r="B49" s="201"/>
      <c r="C49" s="197" t="s">
        <v>211</v>
      </c>
      <c r="D49" s="109" t="str">
        <f>IF($C$2&gt;16,"Yes","No")</f>
        <v>No</v>
      </c>
      <c r="E49" s="20">
        <v>50</v>
      </c>
      <c r="F49" s="102" t="s">
        <v>7</v>
      </c>
      <c r="G49" s="208">
        <v>50</v>
      </c>
      <c r="H49" s="20">
        <f t="shared" si="6"/>
        <v>4.76</v>
      </c>
      <c r="I49" s="209" t="str">
        <f>IFERROR(IF($F49="mg","micrograms/kg/min",IF($F49="micrograms","nanogram/kg/min","")),"")</f>
        <v>micrograms/kg/min</v>
      </c>
      <c r="J49" s="20">
        <v>1</v>
      </c>
      <c r="K49" s="102" t="str">
        <f t="shared" si="0"/>
        <v>to</v>
      </c>
      <c r="L49" s="102">
        <v>2</v>
      </c>
      <c r="M49" s="208" t="str">
        <f t="shared" si="1"/>
        <v>micrograms/kg/min</v>
      </c>
      <c r="N49" s="212">
        <f t="shared" si="2"/>
        <v>0.2</v>
      </c>
      <c r="O49" s="205" t="str">
        <f t="shared" si="3"/>
        <v>to</v>
      </c>
      <c r="P49" s="102">
        <f t="shared" si="4"/>
        <v>0.4</v>
      </c>
      <c r="Q49" s="102" t="str">
        <f t="shared" si="5"/>
        <v>mL/hr</v>
      </c>
      <c r="R49" s="208">
        <v>1</v>
      </c>
      <c r="S49" s="190"/>
      <c r="T49" s="18" t="str">
        <f t="shared" si="7"/>
        <v>0.2 - 0.4 mL/hr</v>
      </c>
      <c r="U49" s="18" t="str">
        <f>E49&amp;" mg NEAT, total "&amp;G49&amp;" mL"</f>
        <v>50 mg NEAT, total 50 mL</v>
      </c>
      <c r="V49" s="18" t="str">
        <f t="shared" si="8"/>
        <v>1ml/hr = 4.76 micrograms/kg/min</v>
      </c>
      <c r="W49" s="19" t="str">
        <f>"@1 - 2 micrograms/kg/min"</f>
        <v>@1 - 2 micrograms/kg/min</v>
      </c>
      <c r="X49" s="190"/>
    </row>
    <row r="50" spans="2:24" s="55" customFormat="1" ht="25" customHeight="1" x14ac:dyDescent="0.2">
      <c r="B50" s="226" t="s">
        <v>95</v>
      </c>
      <c r="C50" s="198"/>
      <c r="D50" s="688"/>
      <c r="E50" s="212"/>
      <c r="F50" s="205"/>
      <c r="G50" s="209"/>
      <c r="H50" s="212" t="str">
        <f t="shared" si="6"/>
        <v/>
      </c>
      <c r="I50" s="209" t="str">
        <f t="shared" si="9"/>
        <v/>
      </c>
      <c r="J50" s="212"/>
      <c r="K50" s="205" t="str">
        <f t="shared" si="0"/>
        <v/>
      </c>
      <c r="L50" s="205"/>
      <c r="M50" s="209" t="str">
        <f t="shared" si="1"/>
        <v/>
      </c>
      <c r="N50" s="212" t="str">
        <f t="shared" si="2"/>
        <v/>
      </c>
      <c r="O50" s="205" t="str">
        <f t="shared" si="3"/>
        <v/>
      </c>
      <c r="P50" s="205" t="str">
        <f t="shared" si="4"/>
        <v/>
      </c>
      <c r="Q50" s="205" t="str">
        <f t="shared" si="5"/>
        <v/>
      </c>
      <c r="R50" s="209"/>
      <c r="S50" s="195"/>
      <c r="T50" s="225" t="str">
        <f t="shared" si="7"/>
        <v/>
      </c>
      <c r="U50" s="225"/>
      <c r="V50" s="225" t="str">
        <f t="shared" si="8"/>
        <v/>
      </c>
      <c r="W50" s="232"/>
      <c r="X50" s="195"/>
    </row>
    <row r="51" spans="2:24" s="55" customFormat="1" ht="25" customHeight="1" x14ac:dyDescent="0.2">
      <c r="B51" s="201"/>
      <c r="C51" s="197" t="s">
        <v>483</v>
      </c>
      <c r="D51" s="109" t="str">
        <f>IF(C3&lt;12,"Yes","No")</f>
        <v>Yes</v>
      </c>
      <c r="E51" s="20">
        <f>ROUND((0.15*$C$2),1)</f>
        <v>0.5</v>
      </c>
      <c r="F51" s="102" t="s">
        <v>7</v>
      </c>
      <c r="G51" s="208">
        <v>50</v>
      </c>
      <c r="H51" s="20">
        <f t="shared" si="6"/>
        <v>0.05</v>
      </c>
      <c r="I51" s="209" t="str">
        <f>IFERROR(IF($F51="mg","micrograms/kg/min",IF($F51="micrograms","nanogram/kg/min","")),"")</f>
        <v>micrograms/kg/min</v>
      </c>
      <c r="J51" s="20">
        <v>0.05</v>
      </c>
      <c r="K51" s="102" t="s">
        <v>192</v>
      </c>
      <c r="L51" s="102">
        <v>0.5</v>
      </c>
      <c r="M51" s="208" t="str">
        <f t="shared" si="1"/>
        <v>micrograms/kg/min</v>
      </c>
      <c r="N51" s="212">
        <f t="shared" si="2"/>
        <v>1</v>
      </c>
      <c r="O51" s="205" t="str">
        <f t="shared" si="3"/>
        <v>to</v>
      </c>
      <c r="P51" s="102">
        <f t="shared" si="4"/>
        <v>10</v>
      </c>
      <c r="Q51" s="102" t="str">
        <f t="shared" si="5"/>
        <v>mL/hr</v>
      </c>
      <c r="R51" s="208">
        <v>1</v>
      </c>
      <c r="S51" s="190"/>
      <c r="T51" s="18" t="str">
        <f t="shared" si="7"/>
        <v>1 - 10 mL/hr</v>
      </c>
      <c r="U51" s="18" t="str">
        <f>E51&amp;" mg diluted to "&amp;G51&amp;" mL"</f>
        <v>0.5 mg diluted to 50 mL</v>
      </c>
      <c r="V51" s="18" t="str">
        <f t="shared" si="8"/>
        <v>1ml/hr = 0.05 micrograms/kg/min</v>
      </c>
      <c r="W51" s="19" t="str">
        <f>"@0.05 - 0.5 micrograms/kg/min"</f>
        <v>@0.05 - 0.5 micrograms/kg/min</v>
      </c>
      <c r="X51" s="190" t="s">
        <v>482</v>
      </c>
    </row>
    <row r="52" spans="2:24" s="55" customFormat="1" ht="25" customHeight="1" x14ac:dyDescent="0.2">
      <c r="B52" s="201"/>
      <c r="C52" s="197" t="s">
        <v>484</v>
      </c>
      <c r="D52" s="109" t="str">
        <f>IF(C3&gt;=12,"Yes","No")</f>
        <v>No</v>
      </c>
      <c r="E52" s="217">
        <v>10</v>
      </c>
      <c r="F52" s="102" t="s">
        <v>7</v>
      </c>
      <c r="G52" s="208">
        <v>50</v>
      </c>
      <c r="H52" s="20">
        <f>IFERROR(ROUND(($E52/$G52),2),"")</f>
        <v>0.2</v>
      </c>
      <c r="I52" s="213" t="s">
        <v>481</v>
      </c>
      <c r="J52" s="20">
        <v>0.5</v>
      </c>
      <c r="K52" s="102" t="s">
        <v>192</v>
      </c>
      <c r="L52" s="102">
        <v>20</v>
      </c>
      <c r="M52" s="208" t="str">
        <f t="shared" si="1"/>
        <v>mg/mL</v>
      </c>
      <c r="N52" s="212">
        <f t="shared" si="2"/>
        <v>2.5</v>
      </c>
      <c r="O52" s="205" t="str">
        <f t="shared" si="3"/>
        <v>to</v>
      </c>
      <c r="P52" s="102">
        <f t="shared" si="4"/>
        <v>100</v>
      </c>
      <c r="Q52" s="102" t="str">
        <f t="shared" si="5"/>
        <v>mL/hr</v>
      </c>
      <c r="R52" s="208">
        <v>1</v>
      </c>
      <c r="S52" s="190"/>
      <c r="T52" s="18" t="str">
        <f t="shared" si="7"/>
        <v>2.5 - 100 mL/hr</v>
      </c>
      <c r="U52" s="18" t="str">
        <f>E52&amp;" mg diluted to "&amp;G52&amp;" mL"</f>
        <v>10 mg diluted to 50 mL</v>
      </c>
      <c r="V52" s="18" t="str">
        <f t="shared" si="8"/>
        <v>1ml/hr = 0.2 mg/mL</v>
      </c>
      <c r="W52" s="19" t="str">
        <f>"@0.5 - 20 mg/HOUR"</f>
        <v>@0.5 - 20 mg/HOUR</v>
      </c>
      <c r="X52" s="190" t="s">
        <v>482</v>
      </c>
    </row>
    <row r="53" spans="2:24" s="55" customFormat="1" ht="25" customHeight="1" x14ac:dyDescent="0.2">
      <c r="B53" s="239" t="s">
        <v>88</v>
      </c>
      <c r="C53" s="198"/>
      <c r="D53" s="688"/>
      <c r="E53" s="212"/>
      <c r="F53" s="205"/>
      <c r="G53" s="209"/>
      <c r="H53" s="212" t="str">
        <f t="shared" si="6"/>
        <v/>
      </c>
      <c r="I53" s="209" t="str">
        <f t="shared" si="9"/>
        <v/>
      </c>
      <c r="J53" s="212"/>
      <c r="K53" s="205" t="str">
        <f t="shared" si="0"/>
        <v/>
      </c>
      <c r="L53" s="205"/>
      <c r="M53" s="209" t="str">
        <f t="shared" si="1"/>
        <v/>
      </c>
      <c r="N53" s="212" t="str">
        <f t="shared" si="2"/>
        <v/>
      </c>
      <c r="O53" s="205" t="str">
        <f t="shared" si="3"/>
        <v/>
      </c>
      <c r="P53" s="205" t="str">
        <f t="shared" si="4"/>
        <v/>
      </c>
      <c r="Q53" s="205" t="str">
        <f t="shared" si="5"/>
        <v/>
      </c>
      <c r="R53" s="209"/>
      <c r="S53" s="195"/>
      <c r="T53" s="225" t="str">
        <f t="shared" si="7"/>
        <v/>
      </c>
      <c r="U53" s="225"/>
      <c r="V53" s="225" t="str">
        <f t="shared" si="8"/>
        <v/>
      </c>
      <c r="W53" s="232"/>
      <c r="X53" s="195"/>
    </row>
    <row r="54" spans="2:24" s="55" customFormat="1" ht="25" customHeight="1" x14ac:dyDescent="0.2">
      <c r="B54" s="201"/>
      <c r="C54" s="197" t="s">
        <v>220</v>
      </c>
      <c r="D54" s="109" t="s">
        <v>14</v>
      </c>
      <c r="E54" s="217">
        <v>500</v>
      </c>
      <c r="F54" s="102" t="s">
        <v>7</v>
      </c>
      <c r="G54" s="218">
        <v>50</v>
      </c>
      <c r="H54" s="20">
        <f>IFERROR(ROUND((($E54/$G54)/$C$2),2),"")</f>
        <v>2.86</v>
      </c>
      <c r="I54" s="213" t="s">
        <v>226</v>
      </c>
      <c r="J54" s="20">
        <v>0</v>
      </c>
      <c r="K54" s="102" t="str">
        <f t="shared" si="0"/>
        <v>to</v>
      </c>
      <c r="L54" s="102">
        <v>3</v>
      </c>
      <c r="M54" s="213" t="str">
        <f t="shared" si="1"/>
        <v>mg/kg/hour</v>
      </c>
      <c r="N54" s="212">
        <f t="shared" si="2"/>
        <v>0</v>
      </c>
      <c r="O54" s="205" t="str">
        <f t="shared" si="3"/>
        <v>to</v>
      </c>
      <c r="P54" s="102">
        <f t="shared" si="4"/>
        <v>1</v>
      </c>
      <c r="Q54" s="102" t="str">
        <f t="shared" si="5"/>
        <v>mL/hr</v>
      </c>
      <c r="R54" s="208">
        <v>1</v>
      </c>
      <c r="S54" s="190"/>
      <c r="T54" s="18" t="str">
        <f t="shared" si="7"/>
        <v>0 - 1 mL/hr</v>
      </c>
      <c r="U54" s="18" t="str">
        <f>E54&amp;" mg NEAT, total "&amp;G54&amp;" mL"</f>
        <v>500 mg NEAT, total 50 mL</v>
      </c>
      <c r="V54" s="240" t="str">
        <f t="shared" si="8"/>
        <v>1ml/hr = 2.86 mg/kg/hour</v>
      </c>
      <c r="W54" s="241" t="str">
        <f>"@0 - 3 mg/kg/HOUR"</f>
        <v>@0 - 3 mg/kg/HOUR</v>
      </c>
      <c r="X54" s="190"/>
    </row>
    <row r="55" spans="2:24" s="55" customFormat="1" ht="25" customHeight="1" x14ac:dyDescent="0.2">
      <c r="B55" s="252" t="s">
        <v>240</v>
      </c>
      <c r="C55" s="198"/>
      <c r="D55" s="688"/>
      <c r="E55" s="212"/>
      <c r="F55" s="205"/>
      <c r="G55" s="209"/>
      <c r="H55" s="212" t="str">
        <f t="shared" si="6"/>
        <v/>
      </c>
      <c r="I55" s="209" t="str">
        <f t="shared" si="9"/>
        <v/>
      </c>
      <c r="J55" s="212"/>
      <c r="K55" s="205" t="str">
        <f t="shared" si="0"/>
        <v/>
      </c>
      <c r="L55" s="205"/>
      <c r="M55" s="209" t="str">
        <f t="shared" si="1"/>
        <v/>
      </c>
      <c r="N55" s="212" t="str">
        <f t="shared" si="2"/>
        <v/>
      </c>
      <c r="O55" s="205" t="str">
        <f t="shared" si="3"/>
        <v/>
      </c>
      <c r="P55" s="205" t="str">
        <f t="shared" si="4"/>
        <v/>
      </c>
      <c r="Q55" s="205" t="str">
        <f t="shared" si="5"/>
        <v/>
      </c>
      <c r="R55" s="209"/>
      <c r="S55" s="195"/>
      <c r="T55" s="225" t="str">
        <f t="shared" si="7"/>
        <v/>
      </c>
      <c r="U55" s="225"/>
      <c r="V55" s="225" t="str">
        <f t="shared" si="8"/>
        <v/>
      </c>
      <c r="W55" s="232"/>
      <c r="X55" s="195"/>
    </row>
    <row r="56" spans="2:24" s="55" customFormat="1" ht="25" customHeight="1" x14ac:dyDescent="0.2">
      <c r="B56" s="316"/>
      <c r="C56" s="197" t="s">
        <v>415</v>
      </c>
      <c r="D56" s="109" t="str">
        <f>IF($C$3&lt;1,"Yes","No")</f>
        <v>Yes</v>
      </c>
      <c r="E56" s="20"/>
      <c r="F56" s="102"/>
      <c r="G56" s="208"/>
      <c r="H56" s="20"/>
      <c r="I56" s="209"/>
      <c r="J56" s="20"/>
      <c r="K56" s="102"/>
      <c r="L56" s="102"/>
      <c r="M56" s="208"/>
      <c r="N56" s="212"/>
      <c r="O56" s="205"/>
      <c r="P56" s="102"/>
      <c r="Q56" s="102"/>
      <c r="R56" s="208"/>
      <c r="S56" s="190"/>
      <c r="T56" s="18" t="s">
        <v>767</v>
      </c>
      <c r="U56" s="18">
        <v>0</v>
      </c>
      <c r="V56" s="18">
        <v>0</v>
      </c>
      <c r="W56" s="19">
        <v>0</v>
      </c>
      <c r="X56" s="190"/>
    </row>
    <row r="57" spans="2:24" s="55" customFormat="1" ht="25" customHeight="1" x14ac:dyDescent="0.2">
      <c r="B57" s="201"/>
      <c r="C57" s="197" t="s">
        <v>234</v>
      </c>
      <c r="D57" s="109" t="str">
        <f>IF($C$3&gt;=1,IF($C$3&lt;10,IF($C$2&lt;23,"Yes","No"),"No"),"No")</f>
        <v>No</v>
      </c>
      <c r="E57" s="20">
        <f>ROUND((55*C2),1)</f>
        <v>192.5</v>
      </c>
      <c r="F57" s="102" t="s">
        <v>7</v>
      </c>
      <c r="G57" s="208">
        <v>50</v>
      </c>
      <c r="H57" s="20">
        <f>IFERROR(ROUND((($E57/$G57))/$C$2,2),"")</f>
        <v>1.1000000000000001</v>
      </c>
      <c r="I57" s="213" t="s">
        <v>226</v>
      </c>
      <c r="J57" s="20">
        <v>1.1000000000000001</v>
      </c>
      <c r="K57" s="102" t="str">
        <f t="shared" si="0"/>
        <v>to</v>
      </c>
      <c r="L57" s="102"/>
      <c r="M57" s="213" t="str">
        <f t="shared" si="1"/>
        <v>mg/kg/hour</v>
      </c>
      <c r="N57" s="212">
        <f t="shared" si="2"/>
        <v>1</v>
      </c>
      <c r="O57" s="205" t="str">
        <f t="shared" si="3"/>
        <v>to</v>
      </c>
      <c r="P57" s="102">
        <f t="shared" si="4"/>
        <v>0</v>
      </c>
      <c r="Q57" s="102" t="str">
        <f t="shared" si="5"/>
        <v>mL/hr</v>
      </c>
      <c r="R57" s="208">
        <v>1</v>
      </c>
      <c r="S57" s="190"/>
      <c r="T57" s="18" t="str">
        <f>IF(N57="","",$N57&amp;" "&amp;$Q57)</f>
        <v>1 mL/hr</v>
      </c>
      <c r="U57" s="18" t="str">
        <f>E57&amp;" mg diluted to "&amp;G57&amp;" mL"</f>
        <v>192.5 mg diluted to 50 mL</v>
      </c>
      <c r="V57" s="240" t="str">
        <f t="shared" si="8"/>
        <v>1ml/hr = 1.1 mg/kg/hour</v>
      </c>
      <c r="W57" s="241" t="str">
        <f>"@"&amp;J57&amp;" mg/kg/HOUR"</f>
        <v>@1.1 mg/kg/HOUR</v>
      </c>
      <c r="X57" s="190" t="s">
        <v>236</v>
      </c>
    </row>
    <row r="58" spans="2:24" s="55" customFormat="1" ht="25" customHeight="1" x14ac:dyDescent="0.2">
      <c r="B58" s="201"/>
      <c r="C58" s="197" t="s">
        <v>235</v>
      </c>
      <c r="D58" s="109" t="str">
        <f>IF($C$3&gt;=1,IF($C$3&lt;10,IF($C$2&gt;=23,"Yes","No"),"No"),"No")</f>
        <v>No</v>
      </c>
      <c r="E58" s="217">
        <v>1250</v>
      </c>
      <c r="F58" s="102" t="s">
        <v>7</v>
      </c>
      <c r="G58" s="218">
        <v>50</v>
      </c>
      <c r="H58" s="217">
        <v>25</v>
      </c>
      <c r="I58" s="213" t="s">
        <v>218</v>
      </c>
      <c r="J58" s="20">
        <v>25</v>
      </c>
      <c r="K58" s="102" t="str">
        <f t="shared" si="0"/>
        <v>to</v>
      </c>
      <c r="L58" s="102"/>
      <c r="M58" s="213" t="str">
        <f t="shared" si="1"/>
        <v>mg/hour</v>
      </c>
      <c r="N58" s="212">
        <f t="shared" si="2"/>
        <v>1</v>
      </c>
      <c r="O58" s="205" t="str">
        <f t="shared" si="3"/>
        <v>to</v>
      </c>
      <c r="P58" s="102">
        <f t="shared" si="4"/>
        <v>0</v>
      </c>
      <c r="Q58" s="102" t="str">
        <f t="shared" si="5"/>
        <v>mL/hr</v>
      </c>
      <c r="R58" s="208">
        <v>1</v>
      </c>
      <c r="S58" s="190"/>
      <c r="T58" s="18" t="str">
        <f>IF(N58="","",$N58&amp;" "&amp;$Q58)</f>
        <v>1 mL/hr</v>
      </c>
      <c r="U58" s="18" t="str">
        <f>E58&amp;" mg NEAT, total "&amp;G58&amp;" mL"</f>
        <v>1250 mg NEAT, total 50 mL</v>
      </c>
      <c r="V58" s="240" t="str">
        <f t="shared" si="8"/>
        <v>1ml/hr = 25 mg/hour</v>
      </c>
      <c r="W58" s="241" t="str">
        <f>"@"&amp;J58&amp;" mg/HOUR"</f>
        <v>@25 mg/HOUR</v>
      </c>
      <c r="X58" s="190"/>
    </row>
    <row r="59" spans="2:24" s="55" customFormat="1" ht="25" customHeight="1" x14ac:dyDescent="0.2">
      <c r="B59" s="201"/>
      <c r="C59" s="197" t="s">
        <v>232</v>
      </c>
      <c r="D59" s="109" t="str">
        <f>IF($C$3&gt;=10,IF($C$2&lt;=35,"Yes","No"),"No")</f>
        <v>No</v>
      </c>
      <c r="E59" s="20">
        <f>ROUND((35*C2),1)</f>
        <v>122.5</v>
      </c>
      <c r="F59" s="102" t="s">
        <v>7</v>
      </c>
      <c r="G59" s="208">
        <v>50</v>
      </c>
      <c r="H59" s="20">
        <f>IFERROR(ROUND((($E59/$G59))/$C$2,2),"")</f>
        <v>0.7</v>
      </c>
      <c r="I59" s="213" t="s">
        <v>226</v>
      </c>
      <c r="J59" s="20">
        <v>0.7</v>
      </c>
      <c r="K59" s="102" t="str">
        <f t="shared" si="0"/>
        <v>to</v>
      </c>
      <c r="L59" s="102"/>
      <c r="M59" s="213" t="str">
        <f t="shared" si="1"/>
        <v>mg/kg/hour</v>
      </c>
      <c r="N59" s="212">
        <f>IFERROR(ROUND(($J59/$H59),$R59),"")</f>
        <v>1</v>
      </c>
      <c r="O59" s="205" t="str">
        <f t="shared" si="3"/>
        <v>to</v>
      </c>
      <c r="P59" s="102">
        <f>IFERROR(ROUND(($L59/$H59),$R59),"")</f>
        <v>0</v>
      </c>
      <c r="Q59" s="102" t="str">
        <f t="shared" si="5"/>
        <v>mL/hr</v>
      </c>
      <c r="R59" s="208">
        <v>1</v>
      </c>
      <c r="S59" s="190"/>
      <c r="T59" s="18" t="str">
        <f>IF(N59="","",$N59&amp;" "&amp;$Q59)</f>
        <v>1 mL/hr</v>
      </c>
      <c r="U59" s="18" t="str">
        <f>E59&amp;" mg diluted to "&amp;G59&amp;" mL"</f>
        <v>122.5 mg diluted to 50 mL</v>
      </c>
      <c r="V59" s="240" t="str">
        <f>IF($H59="","","1ml/hr = "&amp;$H59&amp;" "&amp;$I59)</f>
        <v>1ml/hr = 0.7 mg/kg/hour</v>
      </c>
      <c r="W59" s="241" t="str">
        <f>"@"&amp;J59&amp;" mg/kg/HOUR"</f>
        <v>@0.7 mg/kg/HOUR</v>
      </c>
      <c r="X59" s="190"/>
    </row>
    <row r="60" spans="2:24" s="55" customFormat="1" ht="25" customHeight="1" x14ac:dyDescent="0.2">
      <c r="B60" s="201"/>
      <c r="C60" s="197" t="s">
        <v>233</v>
      </c>
      <c r="D60" s="109" t="str">
        <f>IF($C$3&gt;=10,IF($C$2&gt;35,"Yes","No"),"No")</f>
        <v>No</v>
      </c>
      <c r="E60" s="217">
        <v>1250</v>
      </c>
      <c r="F60" s="102" t="s">
        <v>7</v>
      </c>
      <c r="G60" s="218">
        <v>50</v>
      </c>
      <c r="H60" s="217">
        <f>ROUND((25/C2),2)</f>
        <v>7.14</v>
      </c>
      <c r="I60" s="213" t="s">
        <v>226</v>
      </c>
      <c r="J60" s="20">
        <v>0.7</v>
      </c>
      <c r="K60" s="102" t="str">
        <f t="shared" si="0"/>
        <v>to</v>
      </c>
      <c r="L60" s="102"/>
      <c r="M60" s="213" t="str">
        <f t="shared" si="1"/>
        <v>mg/kg/hour</v>
      </c>
      <c r="N60" s="212">
        <f>IFERROR(ROUND(($J60/$H60),$R60),"")</f>
        <v>0.1</v>
      </c>
      <c r="O60" s="205" t="str">
        <f t="shared" si="3"/>
        <v>to</v>
      </c>
      <c r="P60" s="102">
        <f>IFERROR(ROUND(($L60/$H60),$R60),"")</f>
        <v>0</v>
      </c>
      <c r="Q60" s="102" t="str">
        <f t="shared" si="5"/>
        <v>mL/hr</v>
      </c>
      <c r="R60" s="208">
        <v>2</v>
      </c>
      <c r="S60" s="190"/>
      <c r="T60" s="18" t="str">
        <f>IF(N60="","",$N60&amp;" "&amp;$Q60)</f>
        <v>0.1 mL/hr</v>
      </c>
      <c r="U60" s="18" t="str">
        <f>E60&amp;" mg NEAT, total "&amp;G60&amp;" mL"</f>
        <v>1250 mg NEAT, total 50 mL</v>
      </c>
      <c r="V60" s="240" t="str">
        <f>IF($H60="","","1ml/hr = "&amp;$H60&amp;" "&amp;$I60)</f>
        <v>1ml/hr = 7.14 mg/kg/hour</v>
      </c>
      <c r="W60" s="241" t="str">
        <f>"@"&amp;J60&amp;" mg/kg/HOUR"</f>
        <v>@0.7 mg/kg/HOUR</v>
      </c>
      <c r="X60" s="190"/>
    </row>
    <row r="61" spans="2:24" s="55" customFormat="1" ht="25" customHeight="1" x14ac:dyDescent="0.2">
      <c r="B61" s="274" t="s">
        <v>260</v>
      </c>
      <c r="C61" s="198"/>
      <c r="D61" s="688"/>
      <c r="E61" s="212"/>
      <c r="F61" s="205"/>
      <c r="G61" s="209"/>
      <c r="H61" s="212" t="str">
        <f t="shared" si="6"/>
        <v/>
      </c>
      <c r="I61" s="209" t="str">
        <f t="shared" si="9"/>
        <v/>
      </c>
      <c r="J61" s="212"/>
      <c r="K61" s="205" t="str">
        <f t="shared" si="0"/>
        <v/>
      </c>
      <c r="L61" s="205"/>
      <c r="M61" s="209" t="str">
        <f t="shared" si="1"/>
        <v/>
      </c>
      <c r="N61" s="212" t="str">
        <f t="shared" si="2"/>
        <v/>
      </c>
      <c r="O61" s="205" t="str">
        <f t="shared" si="3"/>
        <v/>
      </c>
      <c r="P61" s="205" t="str">
        <f t="shared" si="4"/>
        <v/>
      </c>
      <c r="Q61" s="205" t="str">
        <f t="shared" si="5"/>
        <v/>
      </c>
      <c r="R61" s="209"/>
      <c r="S61" s="195"/>
      <c r="T61" s="225" t="str">
        <f t="shared" si="7"/>
        <v/>
      </c>
      <c r="U61" s="225"/>
      <c r="V61" s="225" t="str">
        <f t="shared" si="8"/>
        <v/>
      </c>
      <c r="W61" s="232"/>
      <c r="X61" s="195"/>
    </row>
    <row r="62" spans="2:24" s="55" customFormat="1" ht="25" customHeight="1" x14ac:dyDescent="0.2">
      <c r="B62" s="201"/>
      <c r="C62" s="197" t="s">
        <v>261</v>
      </c>
      <c r="D62" s="109" t="str">
        <f>IF($C$2&lt;20,"Yes","No")</f>
        <v>Yes</v>
      </c>
      <c r="E62" s="20">
        <f>ROUND((25*$C$2),1)</f>
        <v>87.5</v>
      </c>
      <c r="F62" s="102" t="s">
        <v>7</v>
      </c>
      <c r="G62" s="208">
        <v>50</v>
      </c>
      <c r="H62" s="20">
        <f>IFERROR(ROUND((($E62/$G62))/$C$2,2),"")</f>
        <v>0.5</v>
      </c>
      <c r="I62" s="213" t="s">
        <v>226</v>
      </c>
      <c r="J62" s="20">
        <v>0.1</v>
      </c>
      <c r="K62" s="102" t="str">
        <f t="shared" si="0"/>
        <v>to</v>
      </c>
      <c r="L62" s="102">
        <v>0.3</v>
      </c>
      <c r="M62" s="213" t="str">
        <f t="shared" si="1"/>
        <v>mg/kg/hour</v>
      </c>
      <c r="N62" s="212">
        <f t="shared" si="2"/>
        <v>0.2</v>
      </c>
      <c r="O62" s="205" t="str">
        <f t="shared" si="3"/>
        <v>to</v>
      </c>
      <c r="P62" s="102">
        <f t="shared" si="4"/>
        <v>0.6</v>
      </c>
      <c r="Q62" s="102" t="str">
        <f t="shared" si="5"/>
        <v>mL/hr</v>
      </c>
      <c r="R62" s="208">
        <v>1</v>
      </c>
      <c r="S62" s="190"/>
      <c r="T62" s="18" t="str">
        <f t="shared" si="7"/>
        <v>0.2 - 0.6 mL/hr</v>
      </c>
      <c r="U62" s="403" t="str">
        <f>E62&amp;" mg diluted to "&amp;G62&amp;" mL N/Saline"</f>
        <v>87.5 mg diluted to 50 mL N/Saline</v>
      </c>
      <c r="V62" s="240" t="str">
        <f t="shared" si="8"/>
        <v>1ml/hr = 0.5 mg/kg/hour</v>
      </c>
      <c r="W62" s="241" t="str">
        <f>"@0.1 - 0.3 mg/kg/HOUR"</f>
        <v>@0.1 - 0.3 mg/kg/HOUR</v>
      </c>
      <c r="X62" s="190"/>
    </row>
    <row r="63" spans="2:24" s="55" customFormat="1" ht="25" customHeight="1" x14ac:dyDescent="0.2">
      <c r="B63" s="201"/>
      <c r="C63" s="197" t="s">
        <v>262</v>
      </c>
      <c r="D63" s="109" t="str">
        <f>IF($C$2&gt;=20,"Yes","No")</f>
        <v>No</v>
      </c>
      <c r="E63" s="217">
        <v>250</v>
      </c>
      <c r="F63" s="102" t="s">
        <v>7</v>
      </c>
      <c r="G63" s="218">
        <v>25</v>
      </c>
      <c r="H63" s="20">
        <f>IFERROR(ROUND(($E63/$G63),2),"")</f>
        <v>10</v>
      </c>
      <c r="I63" s="213" t="s">
        <v>218</v>
      </c>
      <c r="J63" s="20">
        <v>2</v>
      </c>
      <c r="K63" s="102" t="str">
        <f t="shared" si="0"/>
        <v>to</v>
      </c>
      <c r="L63" s="102">
        <v>20</v>
      </c>
      <c r="M63" s="213" t="str">
        <f t="shared" si="1"/>
        <v>mg/hour</v>
      </c>
      <c r="N63" s="212">
        <f t="shared" si="2"/>
        <v>0.2</v>
      </c>
      <c r="O63" s="205" t="str">
        <f t="shared" si="3"/>
        <v>to</v>
      </c>
      <c r="P63" s="102">
        <f t="shared" si="4"/>
        <v>2</v>
      </c>
      <c r="Q63" s="102" t="str">
        <f t="shared" si="5"/>
        <v>mL/hr</v>
      </c>
      <c r="R63" s="208">
        <v>1</v>
      </c>
      <c r="S63" s="190"/>
      <c r="T63" s="18" t="str">
        <f t="shared" si="7"/>
        <v>0.2 - 2 mL/hr</v>
      </c>
      <c r="U63" s="18" t="str">
        <f>E63&amp;" mg NEAT, total "&amp;G63&amp;" mL"</f>
        <v>250 mg NEAT, total 25 mL</v>
      </c>
      <c r="V63" s="240" t="str">
        <f t="shared" si="8"/>
        <v>1ml/hr = 10 mg/hour</v>
      </c>
      <c r="W63" s="241" t="str">
        <f>"@2 - 20 mg/HOUR"</f>
        <v>@2 - 20 mg/HOUR</v>
      </c>
      <c r="X63" s="190"/>
    </row>
    <row r="64" spans="2:24" s="55" customFormat="1" ht="25" customHeight="1" x14ac:dyDescent="0.2">
      <c r="B64" s="274" t="s">
        <v>263</v>
      </c>
      <c r="C64" s="198"/>
      <c r="D64" s="688"/>
      <c r="E64" s="212"/>
      <c r="F64" s="205"/>
      <c r="G64" s="209"/>
      <c r="H64" s="212" t="str">
        <f t="shared" si="6"/>
        <v/>
      </c>
      <c r="I64" s="209" t="str">
        <f t="shared" si="9"/>
        <v/>
      </c>
      <c r="J64" s="212"/>
      <c r="K64" s="205" t="str">
        <f t="shared" si="0"/>
        <v/>
      </c>
      <c r="L64" s="205"/>
      <c r="M64" s="209" t="str">
        <f t="shared" si="1"/>
        <v/>
      </c>
      <c r="N64" s="212" t="str">
        <f t="shared" si="2"/>
        <v/>
      </c>
      <c r="O64" s="205" t="str">
        <f t="shared" si="3"/>
        <v/>
      </c>
      <c r="P64" s="205" t="str">
        <f t="shared" si="4"/>
        <v/>
      </c>
      <c r="Q64" s="205" t="str">
        <f t="shared" si="5"/>
        <v/>
      </c>
      <c r="R64" s="209"/>
      <c r="S64" s="195"/>
      <c r="T64" s="225" t="str">
        <f t="shared" si="7"/>
        <v/>
      </c>
      <c r="U64" s="225"/>
      <c r="V64" s="225" t="str">
        <f t="shared" si="8"/>
        <v/>
      </c>
      <c r="W64" s="232"/>
      <c r="X64" s="195"/>
    </row>
    <row r="65" spans="2:24" s="55" customFormat="1" ht="25" customHeight="1" x14ac:dyDescent="0.2">
      <c r="B65" s="201"/>
      <c r="C65" s="197" t="s">
        <v>220</v>
      </c>
      <c r="D65" s="109" t="s">
        <v>14</v>
      </c>
      <c r="E65" s="217">
        <v>50</v>
      </c>
      <c r="F65" s="102" t="s">
        <v>216</v>
      </c>
      <c r="G65" s="208">
        <v>50</v>
      </c>
      <c r="H65" s="258">
        <f>IFERROR(ROUND((($E65/$G65))/$C$2,3),"")</f>
        <v>0.28599999999999998</v>
      </c>
      <c r="I65" s="213" t="s">
        <v>219</v>
      </c>
      <c r="J65" s="20">
        <v>0.1</v>
      </c>
      <c r="K65" s="102" t="str">
        <f t="shared" si="0"/>
        <v>to</v>
      </c>
      <c r="L65" s="102"/>
      <c r="M65" s="213" t="str">
        <f t="shared" si="1"/>
        <v>units/kg/hour</v>
      </c>
      <c r="N65" s="212">
        <f t="shared" si="2"/>
        <v>0.3</v>
      </c>
      <c r="O65" s="205" t="str">
        <f t="shared" si="3"/>
        <v>to</v>
      </c>
      <c r="P65" s="102">
        <f t="shared" si="4"/>
        <v>0</v>
      </c>
      <c r="Q65" s="102" t="str">
        <f t="shared" si="5"/>
        <v>mL/hr</v>
      </c>
      <c r="R65" s="208">
        <v>1</v>
      </c>
      <c r="S65" s="190"/>
      <c r="T65" s="18" t="str">
        <f>IF($N65="","",$N65&amp;" "&amp;$Q65)</f>
        <v>0.3 mL/hr</v>
      </c>
      <c r="U65" s="18" t="str">
        <f>E65&amp;" units diluted to "&amp;G65&amp;" mL N/Saline"</f>
        <v>50 units diluted to 50 mL N/Saline</v>
      </c>
      <c r="V65" s="240" t="str">
        <f>IF($H65="","","1ml/hr = "&amp;ROUND($H65,2)&amp;" "&amp;$I65)</f>
        <v>1ml/hr = 0.29 units/kg/hour</v>
      </c>
      <c r="W65" s="241" t="str">
        <f>"@0.1 units/kg/HOUR"</f>
        <v>@0.1 units/kg/HOUR</v>
      </c>
      <c r="X65" s="190" t="s">
        <v>223</v>
      </c>
    </row>
    <row r="66" spans="2:24" s="55" customFormat="1" ht="25" customHeight="1" x14ac:dyDescent="0.2">
      <c r="B66" s="274" t="s">
        <v>264</v>
      </c>
      <c r="C66" s="198"/>
      <c r="D66" s="688"/>
      <c r="E66" s="212"/>
      <c r="F66" s="205"/>
      <c r="G66" s="209"/>
      <c r="H66" s="212" t="str">
        <f t="shared" si="6"/>
        <v/>
      </c>
      <c r="I66" s="209" t="str">
        <f t="shared" si="9"/>
        <v/>
      </c>
      <c r="J66" s="212"/>
      <c r="K66" s="205" t="str">
        <f t="shared" si="0"/>
        <v/>
      </c>
      <c r="L66" s="205"/>
      <c r="M66" s="209" t="str">
        <f t="shared" si="1"/>
        <v/>
      </c>
      <c r="N66" s="212" t="str">
        <f t="shared" si="2"/>
        <v/>
      </c>
      <c r="O66" s="205" t="str">
        <f t="shared" si="3"/>
        <v/>
      </c>
      <c r="P66" s="205" t="str">
        <f t="shared" si="4"/>
        <v/>
      </c>
      <c r="Q66" s="205" t="str">
        <f t="shared" si="5"/>
        <v/>
      </c>
      <c r="R66" s="209"/>
      <c r="S66" s="195"/>
      <c r="T66" s="225" t="str">
        <f t="shared" si="7"/>
        <v/>
      </c>
      <c r="U66" s="225"/>
      <c r="V66" s="225" t="str">
        <f t="shared" si="8"/>
        <v/>
      </c>
      <c r="W66" s="232"/>
      <c r="X66" s="195"/>
    </row>
    <row r="67" spans="2:24" s="55" customFormat="1" ht="25" customHeight="1" x14ac:dyDescent="0.2">
      <c r="B67" s="201"/>
      <c r="C67" s="197" t="s">
        <v>220</v>
      </c>
      <c r="D67" s="109" t="s">
        <v>14</v>
      </c>
      <c r="E67" s="217">
        <v>100</v>
      </c>
      <c r="F67" s="102" t="s">
        <v>7</v>
      </c>
      <c r="G67" s="208">
        <v>10</v>
      </c>
      <c r="H67" s="20">
        <f t="shared" si="6"/>
        <v>47.62</v>
      </c>
      <c r="I67" s="209" t="str">
        <f>IFERROR(IF($F67="mg","micrograms/kg/min",IF($F67="micrograms","nanogram/kg/min","")),"")</f>
        <v>micrograms/kg/min</v>
      </c>
      <c r="J67" s="20">
        <v>25</v>
      </c>
      <c r="K67" s="102" t="str">
        <f t="shared" si="0"/>
        <v>to</v>
      </c>
      <c r="L67" s="102">
        <v>300</v>
      </c>
      <c r="M67" s="208" t="str">
        <f t="shared" si="1"/>
        <v>micrograms/kg/min</v>
      </c>
      <c r="N67" s="212">
        <f t="shared" si="2"/>
        <v>0.5</v>
      </c>
      <c r="O67" s="205" t="str">
        <f t="shared" si="3"/>
        <v>to</v>
      </c>
      <c r="P67" s="102">
        <f t="shared" si="4"/>
        <v>6.3</v>
      </c>
      <c r="Q67" s="102" t="str">
        <f t="shared" si="5"/>
        <v>mL/hr</v>
      </c>
      <c r="R67" s="208">
        <v>1</v>
      </c>
      <c r="S67" s="190"/>
      <c r="T67" s="18" t="str">
        <f t="shared" si="7"/>
        <v>0.5 - 6.3 mL/hr</v>
      </c>
      <c r="U67" s="18" t="str">
        <f>"Draw up NEAT 10mg/1mL solution"</f>
        <v>Draw up NEAT 10mg/1mL solution</v>
      </c>
      <c r="V67" s="18" t="str">
        <f t="shared" si="8"/>
        <v>1ml/hr = 47.62 micrograms/kg/min</v>
      </c>
      <c r="W67" s="19" t="str">
        <f>"@25 - 300 micrograms/kg/min"</f>
        <v>@25 - 300 micrograms/kg/min</v>
      </c>
      <c r="X67" s="190" t="s">
        <v>388</v>
      </c>
    </row>
    <row r="68" spans="2:24" s="55" customFormat="1" ht="25" customHeight="1" x14ac:dyDescent="0.2">
      <c r="B68" s="274" t="s">
        <v>265</v>
      </c>
      <c r="C68" s="198"/>
      <c r="D68" s="688"/>
      <c r="E68" s="212"/>
      <c r="F68" s="205"/>
      <c r="G68" s="209"/>
      <c r="H68" s="212" t="str">
        <f t="shared" si="6"/>
        <v/>
      </c>
      <c r="I68" s="209" t="str">
        <f t="shared" si="9"/>
        <v/>
      </c>
      <c r="J68" s="212"/>
      <c r="K68" s="205" t="str">
        <f t="shared" si="0"/>
        <v/>
      </c>
      <c r="L68" s="205"/>
      <c r="M68" s="209" t="str">
        <f t="shared" si="1"/>
        <v/>
      </c>
      <c r="N68" s="212" t="str">
        <f t="shared" si="2"/>
        <v/>
      </c>
      <c r="O68" s="205" t="str">
        <f t="shared" si="3"/>
        <v/>
      </c>
      <c r="P68" s="205" t="str">
        <f t="shared" si="4"/>
        <v/>
      </c>
      <c r="Q68" s="205" t="str">
        <f t="shared" si="5"/>
        <v/>
      </c>
      <c r="R68" s="209"/>
      <c r="S68" s="195"/>
      <c r="T68" s="225" t="str">
        <f t="shared" si="7"/>
        <v/>
      </c>
      <c r="U68" s="225"/>
      <c r="V68" s="225" t="str">
        <f t="shared" si="8"/>
        <v/>
      </c>
      <c r="W68" s="232"/>
      <c r="X68" s="195"/>
    </row>
    <row r="69" spans="2:24" s="55" customFormat="1" ht="25" customHeight="1" x14ac:dyDescent="0.2">
      <c r="B69" s="201"/>
      <c r="C69" s="197" t="s">
        <v>387</v>
      </c>
      <c r="D69" s="109" t="str">
        <f>IF(C2&lt;=50,"Yes","No")</f>
        <v>Yes</v>
      </c>
      <c r="E69" s="20">
        <f>ROUND((500*$C$2),1)</f>
        <v>1750</v>
      </c>
      <c r="F69" s="102" t="s">
        <v>216</v>
      </c>
      <c r="G69" s="208">
        <v>50</v>
      </c>
      <c r="H69" s="20">
        <f>IFERROR(ROUND((($E69/$G69))/$C$2,2),"")</f>
        <v>10</v>
      </c>
      <c r="I69" s="213" t="s">
        <v>219</v>
      </c>
      <c r="J69" s="20">
        <v>10</v>
      </c>
      <c r="K69" s="102" t="str">
        <f t="shared" si="0"/>
        <v>to</v>
      </c>
      <c r="L69" s="102"/>
      <c r="M69" s="213" t="str">
        <f t="shared" si="1"/>
        <v>units/kg/hour</v>
      </c>
      <c r="N69" s="212">
        <f t="shared" si="2"/>
        <v>1</v>
      </c>
      <c r="O69" s="205" t="str">
        <f t="shared" si="3"/>
        <v>to</v>
      </c>
      <c r="P69" s="102">
        <f t="shared" si="4"/>
        <v>0</v>
      </c>
      <c r="Q69" s="102" t="str">
        <f t="shared" si="5"/>
        <v>mL/hr</v>
      </c>
      <c r="R69" s="208">
        <v>1</v>
      </c>
      <c r="S69" s="190"/>
      <c r="T69" s="18" t="str">
        <f>IF($N69="","",$N69&amp;" "&amp;$Q69)</f>
        <v>1 mL/hr</v>
      </c>
      <c r="U69" s="242" t="str">
        <f>TEXT($E69,"#,##0")&amp;" units diluted to "&amp;$G69&amp;" mL"</f>
        <v>1,750 units diluted to 50 mL</v>
      </c>
      <c r="V69" s="240" t="str">
        <f t="shared" si="8"/>
        <v>1ml/hr = 10 units/kg/hour</v>
      </c>
      <c r="W69" s="241" t="str">
        <f>"@10 units/kg/HOUR"</f>
        <v>@10 units/kg/HOUR</v>
      </c>
      <c r="X69" s="295" t="s">
        <v>389</v>
      </c>
    </row>
    <row r="70" spans="2:24" s="55" customFormat="1" ht="25" customHeight="1" x14ac:dyDescent="0.2">
      <c r="B70" s="201"/>
      <c r="C70" s="197" t="s">
        <v>269</v>
      </c>
      <c r="D70" s="109" t="str">
        <f>IF(C2&gt;50,"Yes","No")</f>
        <v>No</v>
      </c>
      <c r="E70" s="217">
        <v>25000</v>
      </c>
      <c r="F70" s="102" t="s">
        <v>216</v>
      </c>
      <c r="G70" s="208">
        <v>50</v>
      </c>
      <c r="H70" s="217">
        <f>E70/G70</f>
        <v>500</v>
      </c>
      <c r="I70" s="213" t="s">
        <v>386</v>
      </c>
      <c r="J70" s="217">
        <v>500</v>
      </c>
      <c r="K70" s="102" t="str">
        <f t="shared" si="0"/>
        <v>to</v>
      </c>
      <c r="L70" s="102"/>
      <c r="M70" s="213" t="str">
        <f t="shared" si="1"/>
        <v>units/hour</v>
      </c>
      <c r="N70" s="212">
        <f t="shared" si="2"/>
        <v>1</v>
      </c>
      <c r="O70" s="205" t="str">
        <f t="shared" si="3"/>
        <v>to</v>
      </c>
      <c r="P70" s="102">
        <f t="shared" si="4"/>
        <v>0</v>
      </c>
      <c r="Q70" s="102" t="str">
        <f t="shared" si="5"/>
        <v>mL/hr</v>
      </c>
      <c r="R70" s="208">
        <v>1</v>
      </c>
      <c r="S70" s="190"/>
      <c r="T70" s="18" t="str">
        <f>IF($N70="","",$N70&amp;" "&amp;$Q70)</f>
        <v>1 mL/hr</v>
      </c>
      <c r="U70" s="242" t="str">
        <f>TEXT($E$70,"#,##0")&amp;" units diluted to "&amp;$G$70&amp;" mL"</f>
        <v>25,000 units diluted to 50 mL</v>
      </c>
      <c r="V70" s="240" t="str">
        <f t="shared" si="8"/>
        <v>1ml/hr = 500 units/hour</v>
      </c>
      <c r="W70" s="241" t="str">
        <f>"@500 units/HOUR"</f>
        <v>@500 units/HOUR</v>
      </c>
      <c r="X70" s="190"/>
    </row>
    <row r="71" spans="2:24" s="55" customFormat="1" ht="25" customHeight="1" x14ac:dyDescent="0.2">
      <c r="B71" s="275" t="s">
        <v>270</v>
      </c>
      <c r="C71" s="198"/>
      <c r="D71" s="688"/>
      <c r="E71" s="212"/>
      <c r="F71" s="205"/>
      <c r="G71" s="209"/>
      <c r="H71" s="212" t="str">
        <f t="shared" si="6"/>
        <v/>
      </c>
      <c r="I71" s="209" t="str">
        <f t="shared" si="9"/>
        <v/>
      </c>
      <c r="J71" s="212"/>
      <c r="K71" s="205" t="str">
        <f t="shared" si="0"/>
        <v/>
      </c>
      <c r="L71" s="205"/>
      <c r="M71" s="209" t="str">
        <f t="shared" si="1"/>
        <v/>
      </c>
      <c r="N71" s="212" t="str">
        <f t="shared" si="2"/>
        <v/>
      </c>
      <c r="O71" s="205" t="str">
        <f t="shared" si="3"/>
        <v/>
      </c>
      <c r="P71" s="205" t="str">
        <f t="shared" si="4"/>
        <v/>
      </c>
      <c r="Q71" s="205" t="str">
        <f t="shared" si="5"/>
        <v/>
      </c>
      <c r="R71" s="209"/>
      <c r="S71" s="195"/>
      <c r="T71" s="225" t="str">
        <f t="shared" si="7"/>
        <v/>
      </c>
      <c r="U71" s="225"/>
      <c r="V71" s="225"/>
      <c r="W71" s="232"/>
      <c r="X71" s="195"/>
    </row>
    <row r="72" spans="2:24" s="55" customFormat="1" ht="25" customHeight="1" x14ac:dyDescent="0.2">
      <c r="B72" s="281" t="s">
        <v>272</v>
      </c>
      <c r="C72" s="283" t="s">
        <v>204</v>
      </c>
      <c r="D72" s="420" t="str">
        <f>D$9</f>
        <v>Yes</v>
      </c>
      <c r="E72" s="258">
        <f t="shared" ref="E72:W72" si="10">E$9</f>
        <v>0.5</v>
      </c>
      <c r="F72" s="282" t="str">
        <f t="shared" si="10"/>
        <v>mg</v>
      </c>
      <c r="G72" s="222">
        <f t="shared" si="10"/>
        <v>50</v>
      </c>
      <c r="H72" s="258">
        <f t="shared" si="10"/>
        <v>0.05</v>
      </c>
      <c r="I72" s="222" t="str">
        <f t="shared" si="10"/>
        <v>micrograms/kg/min</v>
      </c>
      <c r="J72" s="258">
        <f t="shared" si="10"/>
        <v>0.01</v>
      </c>
      <c r="K72" s="282" t="str">
        <f t="shared" si="10"/>
        <v>to</v>
      </c>
      <c r="L72" s="282">
        <f t="shared" si="10"/>
        <v>1</v>
      </c>
      <c r="M72" s="222" t="str">
        <f t="shared" si="10"/>
        <v>micrograms/kg/min</v>
      </c>
      <c r="N72" s="258">
        <f t="shared" si="10"/>
        <v>0.2</v>
      </c>
      <c r="O72" s="282" t="str">
        <f t="shared" si="10"/>
        <v>to</v>
      </c>
      <c r="P72" s="282">
        <f t="shared" si="10"/>
        <v>20</v>
      </c>
      <c r="Q72" s="282" t="str">
        <f t="shared" si="10"/>
        <v>mL/hr</v>
      </c>
      <c r="R72" s="222">
        <f t="shared" si="10"/>
        <v>2</v>
      </c>
      <c r="S72" s="284"/>
      <c r="T72" s="242" t="str">
        <f t="shared" si="10"/>
        <v>0.2 - 20 mL/hr</v>
      </c>
      <c r="U72" s="242" t="str">
        <f t="shared" si="10"/>
        <v>0.5 mg diluted to 50 mL</v>
      </c>
      <c r="V72" s="242" t="str">
        <f t="shared" si="10"/>
        <v>1ml/hr = 0.05 micrograms/kg/min</v>
      </c>
      <c r="W72" s="243" t="str">
        <f t="shared" si="10"/>
        <v>@0.01 - 1 micrograms/kg/min</v>
      </c>
      <c r="X72" s="190"/>
    </row>
    <row r="73" spans="2:24" s="55" customFormat="1" ht="25" customHeight="1" x14ac:dyDescent="0.2">
      <c r="B73" s="201"/>
      <c r="C73" s="283" t="s">
        <v>212</v>
      </c>
      <c r="D73" s="420" t="str">
        <f>D$10</f>
        <v>No</v>
      </c>
      <c r="E73" s="258" t="str">
        <f t="shared" ref="E73:W73" si="11">E$10</f>
        <v/>
      </c>
      <c r="F73" s="282" t="str">
        <f t="shared" si="11"/>
        <v>mg</v>
      </c>
      <c r="G73" s="222" t="str">
        <f t="shared" si="11"/>
        <v/>
      </c>
      <c r="H73" s="258" t="str">
        <f t="shared" si="11"/>
        <v/>
      </c>
      <c r="I73" s="222" t="str">
        <f t="shared" si="11"/>
        <v>micrograms/kg/min</v>
      </c>
      <c r="J73" s="258">
        <f t="shared" si="11"/>
        <v>0.01</v>
      </c>
      <c r="K73" s="282" t="str">
        <f t="shared" si="11"/>
        <v>to</v>
      </c>
      <c r="L73" s="282">
        <f t="shared" si="11"/>
        <v>1</v>
      </c>
      <c r="M73" s="222" t="str">
        <f t="shared" si="11"/>
        <v>micrograms/kg/min</v>
      </c>
      <c r="N73" s="258" t="str">
        <f t="shared" si="11"/>
        <v/>
      </c>
      <c r="O73" s="282" t="str">
        <f t="shared" si="11"/>
        <v>to</v>
      </c>
      <c r="P73" s="282" t="str">
        <f t="shared" si="11"/>
        <v/>
      </c>
      <c r="Q73" s="282" t="str">
        <f t="shared" si="11"/>
        <v/>
      </c>
      <c r="R73" s="222">
        <f t="shared" si="11"/>
        <v>1</v>
      </c>
      <c r="S73" s="284"/>
      <c r="T73" s="242" t="str">
        <f t="shared" si="11"/>
        <v/>
      </c>
      <c r="U73" s="242" t="str">
        <f t="shared" si="11"/>
        <v xml:space="preserve"> mg diluted to  mL</v>
      </c>
      <c r="V73" s="242" t="str">
        <f t="shared" si="11"/>
        <v/>
      </c>
      <c r="W73" s="243" t="str">
        <f t="shared" si="11"/>
        <v>@0.01 - 1 micrograms/kg/min</v>
      </c>
      <c r="X73" s="190"/>
    </row>
    <row r="74" spans="2:24" s="55" customFormat="1" ht="25" customHeight="1" x14ac:dyDescent="0.2">
      <c r="B74" s="404" t="s">
        <v>444</v>
      </c>
      <c r="C74" s="198"/>
      <c r="D74" s="688"/>
      <c r="E74" s="212"/>
      <c r="F74" s="205"/>
      <c r="G74" s="209"/>
      <c r="H74" s="212" t="str">
        <f t="shared" si="6"/>
        <v/>
      </c>
      <c r="I74" s="209" t="str">
        <f t="shared" si="9"/>
        <v/>
      </c>
      <c r="J74" s="212"/>
      <c r="K74" s="205" t="str">
        <f t="shared" si="0"/>
        <v/>
      </c>
      <c r="L74" s="205"/>
      <c r="M74" s="209" t="str">
        <f t="shared" si="1"/>
        <v/>
      </c>
      <c r="N74" s="212" t="str">
        <f t="shared" si="2"/>
        <v/>
      </c>
      <c r="O74" s="205" t="str">
        <f t="shared" si="3"/>
        <v/>
      </c>
      <c r="P74" s="205" t="str">
        <f t="shared" si="4"/>
        <v/>
      </c>
      <c r="Q74" s="205" t="str">
        <f t="shared" si="5"/>
        <v/>
      </c>
      <c r="R74" s="209"/>
      <c r="S74" s="195"/>
      <c r="T74" s="225" t="str">
        <f t="shared" si="7"/>
        <v/>
      </c>
      <c r="U74" s="225"/>
      <c r="V74" s="225"/>
      <c r="W74" s="232"/>
      <c r="X74" s="195"/>
    </row>
    <row r="75" spans="2:24" s="55" customFormat="1" ht="25" customHeight="1" x14ac:dyDescent="0.2">
      <c r="B75" s="201"/>
      <c r="C75" s="197" t="s">
        <v>220</v>
      </c>
      <c r="D75" s="109" t="s">
        <v>14</v>
      </c>
      <c r="E75" s="20">
        <v>100</v>
      </c>
      <c r="F75" s="102" t="s">
        <v>7</v>
      </c>
      <c r="G75" s="208">
        <v>50</v>
      </c>
      <c r="H75" s="20">
        <f t="shared" si="6"/>
        <v>9.52</v>
      </c>
      <c r="I75" s="209" t="str">
        <f>IFERROR(IF($F75="mg","micrograms/kg/min",IF($F75="micrograms","nanogram/kg/min","")),"")</f>
        <v>micrograms/kg/min</v>
      </c>
      <c r="J75" s="20">
        <v>5</v>
      </c>
      <c r="K75" s="102" t="str">
        <f t="shared" ref="K75:K101" si="12">IF($J75="","","to")</f>
        <v>to</v>
      </c>
      <c r="L75" s="102">
        <v>15</v>
      </c>
      <c r="M75" s="208" t="str">
        <f t="shared" ref="M75:M101" si="13">IF($J75="","",$I75)</f>
        <v>micrograms/kg/min</v>
      </c>
      <c r="N75" s="212">
        <f t="shared" ref="N75:N101" si="14">IFERROR(ROUND(($J75/$H75),$R75),"")</f>
        <v>0.53</v>
      </c>
      <c r="O75" s="205" t="str">
        <f t="shared" ref="O75:O101" si="15">$K75</f>
        <v>to</v>
      </c>
      <c r="P75" s="102">
        <f t="shared" ref="P75:P101" si="16">IFERROR(ROUND(($L75/$H75),$R75),"")</f>
        <v>1.58</v>
      </c>
      <c r="Q75" s="102" t="str">
        <f t="shared" ref="Q75:Q101" si="17">IF($N75="","","mL/hr")</f>
        <v>mL/hr</v>
      </c>
      <c r="R75" s="208">
        <v>2</v>
      </c>
      <c r="S75" s="190"/>
      <c r="T75" s="18" t="str">
        <f t="shared" si="7"/>
        <v>0.53 - 1.58 mL/hr</v>
      </c>
      <c r="U75" s="18" t="str">
        <f>"Dilute "&amp;E75&amp;" mg to "&amp;G75&amp;" mL D5W"</f>
        <v>Dilute 100 mg to 50 mL D5W</v>
      </c>
      <c r="V75" s="18" t="str">
        <f>IF($H75="","","1ml/hr = "&amp;$H75&amp;" "&amp;$I75)</f>
        <v>1ml/hr = 9.52 micrograms/kg/min</v>
      </c>
      <c r="W75" s="19" t="str">
        <f>"@5 - 15 micrograms/kg/min"</f>
        <v>@5 - 15 micrograms/kg/min</v>
      </c>
      <c r="X75" s="190" t="s">
        <v>446</v>
      </c>
    </row>
    <row r="76" spans="2:24" s="55" customFormat="1" ht="25" customHeight="1" x14ac:dyDescent="0.2">
      <c r="B76" s="438" t="s">
        <v>549</v>
      </c>
      <c r="C76" s="198"/>
      <c r="D76" s="688"/>
      <c r="E76" s="212"/>
      <c r="F76" s="205"/>
      <c r="G76" s="209"/>
      <c r="H76" s="212" t="str">
        <f t="shared" ref="H76:H101" si="18">IFERROR(ROUND((($E76/$G76)*1000)/$C$2/60,2),"")</f>
        <v/>
      </c>
      <c r="I76" s="209" t="str">
        <f t="shared" ref="I76:I101" si="19">IFERROR(IF($F76="mg","microgram/kg/min",IF($F76="micrograms","nanogram/kg/min","")),"")</f>
        <v/>
      </c>
      <c r="J76" s="212"/>
      <c r="K76" s="205" t="str">
        <f t="shared" si="12"/>
        <v/>
      </c>
      <c r="L76" s="205"/>
      <c r="M76" s="209" t="str">
        <f t="shared" si="13"/>
        <v/>
      </c>
      <c r="N76" s="212" t="str">
        <f t="shared" si="14"/>
        <v/>
      </c>
      <c r="O76" s="205" t="str">
        <f t="shared" si="15"/>
        <v/>
      </c>
      <c r="P76" s="205" t="str">
        <f t="shared" si="16"/>
        <v/>
      </c>
      <c r="Q76" s="205" t="str">
        <f t="shared" si="17"/>
        <v/>
      </c>
      <c r="R76" s="209"/>
      <c r="S76" s="195"/>
      <c r="T76" s="225" t="str">
        <f t="shared" ref="T76:T102" si="20">IF(N76="","",$N76&amp;" - "&amp;$P76&amp;" "&amp;$Q76)</f>
        <v/>
      </c>
      <c r="U76" s="225"/>
      <c r="V76" s="225"/>
      <c r="W76" s="232"/>
      <c r="X76" s="195"/>
    </row>
    <row r="77" spans="2:24" s="55" customFormat="1" ht="25" customHeight="1" x14ac:dyDescent="0.2">
      <c r="B77" s="201"/>
      <c r="C77" s="197" t="s">
        <v>551</v>
      </c>
      <c r="D77" s="109" t="str">
        <f>IF($C$3&lt;=1,"Yes","No")</f>
        <v>Yes</v>
      </c>
      <c r="E77" s="20">
        <f t="shared" ref="E77:E79" si="21">ROUND((500*$C$2),1)</f>
        <v>1750</v>
      </c>
      <c r="F77" s="102" t="s">
        <v>216</v>
      </c>
      <c r="G77" s="208">
        <v>50</v>
      </c>
      <c r="H77" s="20">
        <f t="shared" ref="H77:H79" si="22">IFERROR(ROUND((($E77/$G77))/$C$2,2),"")</f>
        <v>10</v>
      </c>
      <c r="I77" s="209" t="s">
        <v>219</v>
      </c>
      <c r="J77" s="20">
        <v>28</v>
      </c>
      <c r="K77" s="102" t="str">
        <f t="shared" si="12"/>
        <v>to</v>
      </c>
      <c r="L77" s="102"/>
      <c r="M77" s="208" t="str">
        <f t="shared" si="13"/>
        <v>units/kg/hour</v>
      </c>
      <c r="N77" s="212">
        <f t="shared" si="14"/>
        <v>2.8</v>
      </c>
      <c r="O77" s="205" t="str">
        <f t="shared" si="15"/>
        <v>to</v>
      </c>
      <c r="P77" s="102">
        <f t="shared" si="16"/>
        <v>0</v>
      </c>
      <c r="Q77" s="102" t="str">
        <f t="shared" si="17"/>
        <v>mL/hr</v>
      </c>
      <c r="R77" s="208">
        <v>1</v>
      </c>
      <c r="S77" s="190"/>
      <c r="T77" s="18" t="str">
        <f>"Starting rate "&amp;$N77&amp;" mL/hr"&amp;CHAR(10)&amp;" adjust to 6-hour APTT"</f>
        <v>Starting rate 2.8 mL/hr
 adjust to 6-hour APTT</v>
      </c>
      <c r="U77" s="242" t="str">
        <f>TEXT($E77,"#,##0")&amp;" units diluted to "&amp;$G77&amp;" mL"</f>
        <v>1,750 units diluted to 50 mL</v>
      </c>
      <c r="V77" s="18" t="str">
        <f t="shared" ref="V77:V79" si="23">IF($H77="","","1ml/hr = "&amp;$H77&amp;" "&amp;$I77)</f>
        <v>1ml/hr = 10 units/kg/hour</v>
      </c>
      <c r="W77" s="19" t="str">
        <f>"@28 units/kg/HOUR"</f>
        <v>@28 units/kg/HOUR</v>
      </c>
      <c r="X77" s="190" t="s">
        <v>552</v>
      </c>
    </row>
    <row r="78" spans="2:24" s="55" customFormat="1" ht="25" customHeight="1" x14ac:dyDescent="0.2">
      <c r="B78" s="201"/>
      <c r="C78" s="197" t="s">
        <v>550</v>
      </c>
      <c r="D78" s="109" t="str">
        <f>IF(AND($C$3&gt;1,$C$2&lt;=30),"Yes","No")</f>
        <v>No</v>
      </c>
      <c r="E78" s="20">
        <f t="shared" si="21"/>
        <v>1750</v>
      </c>
      <c r="F78" s="102" t="s">
        <v>216</v>
      </c>
      <c r="G78" s="208">
        <v>50</v>
      </c>
      <c r="H78" s="20">
        <f t="shared" si="22"/>
        <v>10</v>
      </c>
      <c r="I78" s="209" t="s">
        <v>219</v>
      </c>
      <c r="J78" s="20">
        <v>20</v>
      </c>
      <c r="K78" s="102" t="str">
        <f t="shared" si="12"/>
        <v>to</v>
      </c>
      <c r="L78" s="102"/>
      <c r="M78" s="208" t="str">
        <f t="shared" si="13"/>
        <v>units/kg/hour</v>
      </c>
      <c r="N78" s="212">
        <f t="shared" si="14"/>
        <v>2</v>
      </c>
      <c r="O78" s="205" t="str">
        <f t="shared" si="15"/>
        <v>to</v>
      </c>
      <c r="P78" s="102">
        <f t="shared" si="16"/>
        <v>0</v>
      </c>
      <c r="Q78" s="102" t="str">
        <f t="shared" si="17"/>
        <v>mL/hr</v>
      </c>
      <c r="R78" s="208">
        <v>1</v>
      </c>
      <c r="S78" s="190"/>
      <c r="T78" s="18" t="str">
        <f>"Starting rate "&amp;$N78&amp;" mL/hr"&amp;CHAR(10)&amp;" adjust to 6-hour APTT"</f>
        <v>Starting rate 2 mL/hr
 adjust to 6-hour APTT</v>
      </c>
      <c r="U78" s="242" t="str">
        <f>TEXT($E78,"#,##0")&amp;" units diluted to "&amp;$G78&amp;" mL"</f>
        <v>1,750 units diluted to 50 mL</v>
      </c>
      <c r="V78" s="18" t="str">
        <f t="shared" si="23"/>
        <v>1ml/hr = 10 units/kg/hour</v>
      </c>
      <c r="W78" s="19" t="str">
        <f>"@20 units/kg/HOUR"</f>
        <v>@20 units/kg/HOUR</v>
      </c>
      <c r="X78" s="190" t="s">
        <v>552</v>
      </c>
    </row>
    <row r="79" spans="2:24" s="55" customFormat="1" ht="25" customHeight="1" x14ac:dyDescent="0.2">
      <c r="B79" s="201"/>
      <c r="C79" s="197" t="s">
        <v>556</v>
      </c>
      <c r="D79" s="109" t="str">
        <f>IF(AND($C$3&gt;1,AND($C$2&gt;30,$C$2&lt;=80)),"Yes","No")</f>
        <v>No</v>
      </c>
      <c r="E79" s="20">
        <f t="shared" si="21"/>
        <v>1750</v>
      </c>
      <c r="F79" s="102" t="s">
        <v>216</v>
      </c>
      <c r="G79" s="208">
        <v>50</v>
      </c>
      <c r="H79" s="20">
        <f t="shared" si="22"/>
        <v>10</v>
      </c>
      <c r="I79" s="209" t="s">
        <v>219</v>
      </c>
      <c r="J79" s="20">
        <v>18</v>
      </c>
      <c r="K79" s="102" t="str">
        <f t="shared" si="12"/>
        <v>to</v>
      </c>
      <c r="L79" s="102"/>
      <c r="M79" s="208" t="str">
        <f t="shared" si="13"/>
        <v>units/kg/hour</v>
      </c>
      <c r="N79" s="212">
        <f t="shared" si="14"/>
        <v>1.8</v>
      </c>
      <c r="O79" s="205" t="str">
        <f t="shared" si="15"/>
        <v>to</v>
      </c>
      <c r="P79" s="102">
        <f t="shared" si="16"/>
        <v>0</v>
      </c>
      <c r="Q79" s="102" t="str">
        <f t="shared" si="17"/>
        <v>mL/hr</v>
      </c>
      <c r="R79" s="208">
        <v>1</v>
      </c>
      <c r="S79" s="190"/>
      <c r="T79" s="18" t="str">
        <f>"Starting rate "&amp;$N79&amp;" mL/hr"&amp;CHAR(10)&amp;" adjust to 6-hour APTT"</f>
        <v>Starting rate 1.8 mL/hr
 adjust to 6-hour APTT</v>
      </c>
      <c r="U79" s="242" t="str">
        <f>TEXT($E79,"#,##0")&amp;" units diluted to "&amp;$G79&amp;" mL"</f>
        <v>1,750 units diluted to 50 mL</v>
      </c>
      <c r="V79" s="18" t="str">
        <f t="shared" si="23"/>
        <v>1ml/hr = 10 units/kg/hour</v>
      </c>
      <c r="W79" s="19" t="str">
        <f>"@18 units/kg/HOUR"</f>
        <v>@18 units/kg/HOUR</v>
      </c>
      <c r="X79" s="190" t="s">
        <v>552</v>
      </c>
    </row>
    <row r="80" spans="2:24" s="55" customFormat="1" ht="25" customHeight="1" x14ac:dyDescent="0.2">
      <c r="B80" s="201"/>
      <c r="C80" s="197" t="s">
        <v>557</v>
      </c>
      <c r="D80" s="109" t="str">
        <f>IF(AND($C$3&gt;1,$C$2&gt;80),"Yes","No")</f>
        <v>No</v>
      </c>
      <c r="E80" s="439"/>
      <c r="F80" s="102"/>
      <c r="G80" s="208"/>
      <c r="H80" s="20"/>
      <c r="I80" s="209"/>
      <c r="J80" s="20"/>
      <c r="K80" s="102"/>
      <c r="L80" s="102"/>
      <c r="M80" s="208"/>
      <c r="N80" s="212"/>
      <c r="O80" s="205"/>
      <c r="P80" s="102"/>
      <c r="Q80" s="102"/>
      <c r="R80" s="208"/>
      <c r="S80" s="190"/>
      <c r="T80" s="18" t="str">
        <f>"Discuss with SMO "&amp;CHAR(10)&amp;"or haematologist"</f>
        <v>Discuss with SMO 
or haematologist</v>
      </c>
      <c r="U80" s="18">
        <v>0</v>
      </c>
      <c r="V80" s="18" t="s">
        <v>558</v>
      </c>
      <c r="W80" s="19" t="s">
        <v>559</v>
      </c>
      <c r="X80" s="190" t="s">
        <v>555</v>
      </c>
    </row>
    <row r="81" spans="2:24" s="55" customFormat="1" ht="25" customHeight="1" x14ac:dyDescent="0.2">
      <c r="B81" s="438" t="s">
        <v>553</v>
      </c>
      <c r="C81" s="198"/>
      <c r="D81" s="688"/>
      <c r="E81" s="212"/>
      <c r="F81" s="205"/>
      <c r="G81" s="209"/>
      <c r="H81" s="212" t="str">
        <f t="shared" si="18"/>
        <v/>
      </c>
      <c r="I81" s="209" t="str">
        <f t="shared" si="19"/>
        <v/>
      </c>
      <c r="J81" s="212"/>
      <c r="K81" s="205" t="str">
        <f t="shared" si="12"/>
        <v/>
      </c>
      <c r="L81" s="205"/>
      <c r="M81" s="209" t="str">
        <f t="shared" si="13"/>
        <v/>
      </c>
      <c r="N81" s="212" t="str">
        <f t="shared" si="14"/>
        <v/>
      </c>
      <c r="O81" s="205" t="str">
        <f t="shared" si="15"/>
        <v/>
      </c>
      <c r="P81" s="205" t="str">
        <f t="shared" si="16"/>
        <v/>
      </c>
      <c r="Q81" s="205" t="str">
        <f t="shared" si="17"/>
        <v/>
      </c>
      <c r="R81" s="209"/>
      <c r="S81" s="195"/>
      <c r="T81" s="225" t="str">
        <f t="shared" si="20"/>
        <v/>
      </c>
      <c r="U81" s="225"/>
      <c r="V81" s="225" t="str">
        <f t="shared" ref="V81:V102" si="24">IF($H81="","","1ml/hr = "&amp;$H81&amp;" "&amp;$I81)</f>
        <v/>
      </c>
      <c r="W81" s="232"/>
      <c r="X81" s="195"/>
    </row>
    <row r="82" spans="2:24" s="55" customFormat="1" ht="25" customHeight="1" x14ac:dyDescent="0.2">
      <c r="B82" s="201"/>
      <c r="C82" s="197" t="s">
        <v>220</v>
      </c>
      <c r="D82" s="109" t="s">
        <v>14</v>
      </c>
      <c r="E82" s="20">
        <v>250</v>
      </c>
      <c r="F82" s="102" t="s">
        <v>7</v>
      </c>
      <c r="G82" s="208">
        <v>50</v>
      </c>
      <c r="H82" s="20">
        <f>IFERROR(ROUND((($E82/$G82))/$C$2,2),"")</f>
        <v>1.43</v>
      </c>
      <c r="I82" s="213" t="s">
        <v>226</v>
      </c>
      <c r="J82" s="20">
        <v>0.25</v>
      </c>
      <c r="K82" s="102" t="str">
        <f t="shared" si="12"/>
        <v>to</v>
      </c>
      <c r="L82" s="102">
        <v>3</v>
      </c>
      <c r="M82" s="208" t="str">
        <f t="shared" si="13"/>
        <v>mg/kg/hour</v>
      </c>
      <c r="N82" s="212">
        <f t="shared" si="14"/>
        <v>0.2</v>
      </c>
      <c r="O82" s="205" t="str">
        <f t="shared" si="15"/>
        <v>to</v>
      </c>
      <c r="P82" s="102">
        <f t="shared" si="16"/>
        <v>2.1</v>
      </c>
      <c r="Q82" s="102" t="str">
        <f t="shared" si="17"/>
        <v>mL/hr</v>
      </c>
      <c r="R82" s="208">
        <v>1</v>
      </c>
      <c r="S82" s="190"/>
      <c r="T82" s="18" t="str">
        <f t="shared" si="20"/>
        <v>0.2 - 2.1 mL/hr</v>
      </c>
      <c r="U82" s="18" t="str">
        <f>E82&amp;" mg NEAT, total "&amp;G82&amp;" mL"</f>
        <v>250 mg NEAT, total 50 mL</v>
      </c>
      <c r="V82" s="240" t="str">
        <f t="shared" si="24"/>
        <v>1ml/hr = 1.43 mg/kg/hour</v>
      </c>
      <c r="W82" s="241" t="str">
        <f>"@0.25 - 3 mg/kg/HOUR"</f>
        <v>@0.25 - 3 mg/kg/HOUR</v>
      </c>
      <c r="X82" s="190" t="s">
        <v>554</v>
      </c>
    </row>
    <row r="83" spans="2:24" s="55" customFormat="1" ht="25" customHeight="1" x14ac:dyDescent="0.2">
      <c r="B83" s="440" t="s">
        <v>561</v>
      </c>
      <c r="C83" s="198"/>
      <c r="D83" s="688"/>
      <c r="E83" s="212"/>
      <c r="F83" s="205"/>
      <c r="G83" s="209"/>
      <c r="H83" s="212" t="str">
        <f t="shared" si="18"/>
        <v/>
      </c>
      <c r="I83" s="209" t="str">
        <f t="shared" si="19"/>
        <v/>
      </c>
      <c r="J83" s="212"/>
      <c r="K83" s="205" t="str">
        <f t="shared" si="12"/>
        <v/>
      </c>
      <c r="L83" s="205"/>
      <c r="M83" s="209" t="str">
        <f t="shared" si="13"/>
        <v/>
      </c>
      <c r="N83" s="212" t="str">
        <f t="shared" si="14"/>
        <v/>
      </c>
      <c r="O83" s="205" t="str">
        <f t="shared" si="15"/>
        <v/>
      </c>
      <c r="P83" s="205" t="str">
        <f t="shared" si="16"/>
        <v/>
      </c>
      <c r="Q83" s="205" t="str">
        <f t="shared" si="17"/>
        <v/>
      </c>
      <c r="R83" s="209"/>
      <c r="S83" s="195"/>
      <c r="T83" s="225" t="str">
        <f t="shared" si="20"/>
        <v/>
      </c>
      <c r="U83" s="225"/>
      <c r="V83" s="225" t="str">
        <f t="shared" si="24"/>
        <v/>
      </c>
      <c r="W83" s="232"/>
      <c r="X83" s="195"/>
    </row>
    <row r="84" spans="2:24" s="55" customFormat="1" ht="25" customHeight="1" x14ac:dyDescent="0.2">
      <c r="B84" s="201"/>
      <c r="C84" s="197" t="s">
        <v>220</v>
      </c>
      <c r="D84" s="109" t="s">
        <v>14</v>
      </c>
      <c r="E84" s="217">
        <v>4.4000000000000004</v>
      </c>
      <c r="F84" s="102" t="s">
        <v>32</v>
      </c>
      <c r="G84" s="208">
        <v>20</v>
      </c>
      <c r="H84" s="20">
        <f>IFERROR(ROUND(($E84/$G84),2),"")</f>
        <v>0.22</v>
      </c>
      <c r="I84" s="213" t="s">
        <v>562</v>
      </c>
      <c r="J84" s="20">
        <v>0.11</v>
      </c>
      <c r="K84" s="102" t="str">
        <f t="shared" si="12"/>
        <v>to</v>
      </c>
      <c r="L84" s="102">
        <v>0.22</v>
      </c>
      <c r="M84" s="208" t="str">
        <f t="shared" si="13"/>
        <v>mmol/hour</v>
      </c>
      <c r="N84" s="212">
        <f t="shared" si="14"/>
        <v>0.5</v>
      </c>
      <c r="O84" s="205" t="str">
        <f t="shared" si="15"/>
        <v>to</v>
      </c>
      <c r="P84" s="102">
        <f t="shared" si="16"/>
        <v>1</v>
      </c>
      <c r="Q84" s="102" t="str">
        <f t="shared" si="17"/>
        <v>mL/hr</v>
      </c>
      <c r="R84" s="208">
        <v>1</v>
      </c>
      <c r="S84" s="190"/>
      <c r="T84" s="18" t="str">
        <f>IF($C$3&lt;=0.5,N84&amp;" - "&amp;P84&amp;" mL/hr as inotrope","Not recommended at this age")</f>
        <v>0.5 - 1 mL/hr as inotrope</v>
      </c>
      <c r="U84" s="18" t="str">
        <f>IF($C$3&lt;=0.5,"[central line] 4.4 mmol NEAT, total 20 mL",0)</f>
        <v>[central line] 4.4 mmol NEAT, total 20 mL</v>
      </c>
      <c r="V84" s="240" t="str">
        <f>IF($C$3&lt;=0.5,IF($H84="","","1ml/hr = "&amp;$H84&amp;" "&amp;$I84),0)</f>
        <v>1ml/hr = 0.22 mmol/hour</v>
      </c>
      <c r="W84" s="241" t="str">
        <f>IF($C$3&lt;=0.5,"@0.11 - 0.22 mmol/HOUR",0)</f>
        <v>@0.11 - 0.22 mmol/HOUR</v>
      </c>
      <c r="X84" s="190" t="s">
        <v>563</v>
      </c>
    </row>
    <row r="85" spans="2:24" s="55" customFormat="1" ht="25" customHeight="1" x14ac:dyDescent="0.2">
      <c r="B85" s="202"/>
      <c r="C85" s="198"/>
      <c r="D85" s="688"/>
      <c r="E85" s="212"/>
      <c r="F85" s="205"/>
      <c r="G85" s="209"/>
      <c r="H85" s="212" t="str">
        <f t="shared" si="18"/>
        <v/>
      </c>
      <c r="I85" s="209" t="str">
        <f t="shared" si="19"/>
        <v/>
      </c>
      <c r="J85" s="212"/>
      <c r="K85" s="205" t="str">
        <f t="shared" si="12"/>
        <v/>
      </c>
      <c r="L85" s="205"/>
      <c r="M85" s="209" t="str">
        <f t="shared" si="13"/>
        <v/>
      </c>
      <c r="N85" s="212" t="str">
        <f t="shared" si="14"/>
        <v/>
      </c>
      <c r="O85" s="205" t="str">
        <f t="shared" si="15"/>
        <v/>
      </c>
      <c r="P85" s="205" t="str">
        <f t="shared" si="16"/>
        <v/>
      </c>
      <c r="Q85" s="205" t="str">
        <f t="shared" si="17"/>
        <v/>
      </c>
      <c r="R85" s="209"/>
      <c r="S85" s="195"/>
      <c r="T85" s="225" t="str">
        <f t="shared" si="20"/>
        <v/>
      </c>
      <c r="U85" s="225"/>
      <c r="V85" s="225" t="str">
        <f t="shared" si="24"/>
        <v/>
      </c>
      <c r="W85" s="232"/>
      <c r="X85" s="195"/>
    </row>
    <row r="86" spans="2:24" s="55" customFormat="1" ht="25" customHeight="1" x14ac:dyDescent="0.2">
      <c r="B86" s="201"/>
      <c r="C86" s="197"/>
      <c r="D86" s="109"/>
      <c r="E86" s="20"/>
      <c r="F86" s="102"/>
      <c r="G86" s="208"/>
      <c r="H86" s="20" t="str">
        <f t="shared" si="18"/>
        <v/>
      </c>
      <c r="I86" s="209" t="str">
        <f t="shared" si="19"/>
        <v/>
      </c>
      <c r="J86" s="20"/>
      <c r="K86" s="102" t="str">
        <f t="shared" si="12"/>
        <v/>
      </c>
      <c r="L86" s="102"/>
      <c r="M86" s="208" t="str">
        <f t="shared" si="13"/>
        <v/>
      </c>
      <c r="N86" s="212" t="str">
        <f t="shared" si="14"/>
        <v/>
      </c>
      <c r="O86" s="205" t="str">
        <f t="shared" si="15"/>
        <v/>
      </c>
      <c r="P86" s="102" t="str">
        <f t="shared" si="16"/>
        <v/>
      </c>
      <c r="Q86" s="102" t="str">
        <f t="shared" si="17"/>
        <v/>
      </c>
      <c r="R86" s="208"/>
      <c r="S86" s="190"/>
      <c r="T86" s="18" t="str">
        <f t="shared" si="20"/>
        <v/>
      </c>
      <c r="U86" s="18"/>
      <c r="V86" s="18" t="str">
        <f t="shared" si="24"/>
        <v/>
      </c>
      <c r="W86" s="19"/>
      <c r="X86" s="190"/>
    </row>
    <row r="87" spans="2:24" s="55" customFormat="1" ht="25" customHeight="1" x14ac:dyDescent="0.2">
      <c r="B87" s="201"/>
      <c r="C87" s="197"/>
      <c r="D87" s="109"/>
      <c r="E87" s="20"/>
      <c r="F87" s="102"/>
      <c r="G87" s="208"/>
      <c r="H87" s="20" t="str">
        <f t="shared" si="18"/>
        <v/>
      </c>
      <c r="I87" s="209" t="str">
        <f t="shared" si="19"/>
        <v/>
      </c>
      <c r="J87" s="20"/>
      <c r="K87" s="102" t="str">
        <f t="shared" si="12"/>
        <v/>
      </c>
      <c r="L87" s="102"/>
      <c r="M87" s="208" t="str">
        <f t="shared" si="13"/>
        <v/>
      </c>
      <c r="N87" s="212" t="str">
        <f t="shared" si="14"/>
        <v/>
      </c>
      <c r="O87" s="205" t="str">
        <f t="shared" si="15"/>
        <v/>
      </c>
      <c r="P87" s="102" t="str">
        <f t="shared" si="16"/>
        <v/>
      </c>
      <c r="Q87" s="102" t="str">
        <f t="shared" si="17"/>
        <v/>
      </c>
      <c r="R87" s="208"/>
      <c r="S87" s="190"/>
      <c r="T87" s="18" t="str">
        <f t="shared" si="20"/>
        <v/>
      </c>
      <c r="U87" s="18"/>
      <c r="V87" s="18" t="str">
        <f t="shared" si="24"/>
        <v/>
      </c>
      <c r="W87" s="19"/>
      <c r="X87" s="190"/>
    </row>
    <row r="88" spans="2:24" s="55" customFormat="1" ht="25" customHeight="1" x14ac:dyDescent="0.2">
      <c r="B88" s="201"/>
      <c r="C88" s="197"/>
      <c r="D88" s="109"/>
      <c r="E88" s="20"/>
      <c r="F88" s="102"/>
      <c r="G88" s="208"/>
      <c r="H88" s="20" t="str">
        <f t="shared" si="18"/>
        <v/>
      </c>
      <c r="I88" s="209" t="str">
        <f t="shared" si="19"/>
        <v/>
      </c>
      <c r="J88" s="20"/>
      <c r="K88" s="102" t="str">
        <f t="shared" si="12"/>
        <v/>
      </c>
      <c r="L88" s="102"/>
      <c r="M88" s="208" t="str">
        <f t="shared" si="13"/>
        <v/>
      </c>
      <c r="N88" s="212" t="str">
        <f t="shared" si="14"/>
        <v/>
      </c>
      <c r="O88" s="205" t="str">
        <f t="shared" si="15"/>
        <v/>
      </c>
      <c r="P88" s="102" t="str">
        <f t="shared" si="16"/>
        <v/>
      </c>
      <c r="Q88" s="102" t="str">
        <f t="shared" si="17"/>
        <v/>
      </c>
      <c r="R88" s="208"/>
      <c r="S88" s="190"/>
      <c r="T88" s="18" t="str">
        <f t="shared" si="20"/>
        <v/>
      </c>
      <c r="U88" s="18"/>
      <c r="V88" s="18" t="str">
        <f t="shared" si="24"/>
        <v/>
      </c>
      <c r="W88" s="19"/>
      <c r="X88" s="190"/>
    </row>
    <row r="89" spans="2:24" s="55" customFormat="1" ht="25" customHeight="1" x14ac:dyDescent="0.2">
      <c r="B89" s="201"/>
      <c r="C89" s="197"/>
      <c r="D89" s="109"/>
      <c r="E89" s="20"/>
      <c r="F89" s="102"/>
      <c r="G89" s="208"/>
      <c r="H89" s="20" t="str">
        <f t="shared" si="18"/>
        <v/>
      </c>
      <c r="I89" s="209" t="str">
        <f t="shared" si="19"/>
        <v/>
      </c>
      <c r="J89" s="20"/>
      <c r="K89" s="102" t="str">
        <f t="shared" si="12"/>
        <v/>
      </c>
      <c r="L89" s="102"/>
      <c r="M89" s="208" t="str">
        <f t="shared" si="13"/>
        <v/>
      </c>
      <c r="N89" s="212" t="str">
        <f t="shared" si="14"/>
        <v/>
      </c>
      <c r="O89" s="205" t="str">
        <f t="shared" si="15"/>
        <v/>
      </c>
      <c r="P89" s="102" t="str">
        <f t="shared" si="16"/>
        <v/>
      </c>
      <c r="Q89" s="102" t="str">
        <f t="shared" si="17"/>
        <v/>
      </c>
      <c r="R89" s="208"/>
      <c r="S89" s="190"/>
      <c r="T89" s="18" t="str">
        <f t="shared" si="20"/>
        <v/>
      </c>
      <c r="U89" s="18"/>
      <c r="V89" s="18" t="str">
        <f t="shared" si="24"/>
        <v/>
      </c>
      <c r="W89" s="19"/>
      <c r="X89" s="190"/>
    </row>
    <row r="90" spans="2:24" s="55" customFormat="1" ht="25" customHeight="1" x14ac:dyDescent="0.2">
      <c r="B90" s="201"/>
      <c r="C90" s="197"/>
      <c r="D90" s="109"/>
      <c r="E90" s="20"/>
      <c r="F90" s="102"/>
      <c r="G90" s="208"/>
      <c r="H90" s="20" t="str">
        <f t="shared" si="18"/>
        <v/>
      </c>
      <c r="I90" s="209" t="str">
        <f t="shared" si="19"/>
        <v/>
      </c>
      <c r="J90" s="20"/>
      <c r="K90" s="102" t="str">
        <f t="shared" si="12"/>
        <v/>
      </c>
      <c r="L90" s="102"/>
      <c r="M90" s="208" t="str">
        <f t="shared" si="13"/>
        <v/>
      </c>
      <c r="N90" s="212" t="str">
        <f t="shared" si="14"/>
        <v/>
      </c>
      <c r="O90" s="205" t="str">
        <f t="shared" si="15"/>
        <v/>
      </c>
      <c r="P90" s="102" t="str">
        <f t="shared" si="16"/>
        <v/>
      </c>
      <c r="Q90" s="102" t="str">
        <f t="shared" si="17"/>
        <v/>
      </c>
      <c r="R90" s="208"/>
      <c r="S90" s="190"/>
      <c r="T90" s="18" t="str">
        <f t="shared" si="20"/>
        <v/>
      </c>
      <c r="U90" s="18"/>
      <c r="V90" s="18" t="str">
        <f t="shared" si="24"/>
        <v/>
      </c>
      <c r="W90" s="19"/>
      <c r="X90" s="190"/>
    </row>
    <row r="91" spans="2:24" s="55" customFormat="1" ht="25" customHeight="1" x14ac:dyDescent="0.2">
      <c r="B91" s="201"/>
      <c r="C91" s="197"/>
      <c r="D91" s="109"/>
      <c r="E91" s="20"/>
      <c r="F91" s="102"/>
      <c r="G91" s="208"/>
      <c r="H91" s="20" t="str">
        <f t="shared" si="18"/>
        <v/>
      </c>
      <c r="I91" s="209" t="str">
        <f t="shared" si="19"/>
        <v/>
      </c>
      <c r="J91" s="20"/>
      <c r="K91" s="102" t="str">
        <f t="shared" si="12"/>
        <v/>
      </c>
      <c r="L91" s="102"/>
      <c r="M91" s="208" t="str">
        <f t="shared" si="13"/>
        <v/>
      </c>
      <c r="N91" s="212" t="str">
        <f t="shared" si="14"/>
        <v/>
      </c>
      <c r="O91" s="205" t="str">
        <f t="shared" si="15"/>
        <v/>
      </c>
      <c r="P91" s="102" t="str">
        <f t="shared" si="16"/>
        <v/>
      </c>
      <c r="Q91" s="102" t="str">
        <f t="shared" si="17"/>
        <v/>
      </c>
      <c r="R91" s="208"/>
      <c r="S91" s="190"/>
      <c r="T91" s="18" t="str">
        <f t="shared" si="20"/>
        <v/>
      </c>
      <c r="U91" s="18"/>
      <c r="V91" s="18" t="str">
        <f t="shared" si="24"/>
        <v/>
      </c>
      <c r="W91" s="19"/>
      <c r="X91" s="190"/>
    </row>
    <row r="92" spans="2:24" s="55" customFormat="1" ht="25" customHeight="1" x14ac:dyDescent="0.2">
      <c r="B92" s="201"/>
      <c r="C92" s="197"/>
      <c r="D92" s="109"/>
      <c r="E92" s="20"/>
      <c r="F92" s="102"/>
      <c r="G92" s="208"/>
      <c r="H92" s="20" t="str">
        <f t="shared" si="18"/>
        <v/>
      </c>
      <c r="I92" s="209" t="str">
        <f t="shared" si="19"/>
        <v/>
      </c>
      <c r="J92" s="20"/>
      <c r="K92" s="102" t="str">
        <f t="shared" si="12"/>
        <v/>
      </c>
      <c r="L92" s="102"/>
      <c r="M92" s="208" t="str">
        <f t="shared" si="13"/>
        <v/>
      </c>
      <c r="N92" s="212" t="str">
        <f t="shared" si="14"/>
        <v/>
      </c>
      <c r="O92" s="205" t="str">
        <f t="shared" si="15"/>
        <v/>
      </c>
      <c r="P92" s="102" t="str">
        <f t="shared" si="16"/>
        <v/>
      </c>
      <c r="Q92" s="102" t="str">
        <f t="shared" si="17"/>
        <v/>
      </c>
      <c r="R92" s="208"/>
      <c r="S92" s="190"/>
      <c r="T92" s="18" t="str">
        <f t="shared" si="20"/>
        <v/>
      </c>
      <c r="U92" s="18"/>
      <c r="V92" s="18" t="str">
        <f t="shared" si="24"/>
        <v/>
      </c>
      <c r="W92" s="19"/>
      <c r="X92" s="190"/>
    </row>
    <row r="93" spans="2:24" s="55" customFormat="1" ht="25" customHeight="1" x14ac:dyDescent="0.2">
      <c r="B93" s="201"/>
      <c r="C93" s="197"/>
      <c r="D93" s="109"/>
      <c r="E93" s="20"/>
      <c r="F93" s="102"/>
      <c r="G93" s="208"/>
      <c r="H93" s="20" t="str">
        <f t="shared" si="18"/>
        <v/>
      </c>
      <c r="I93" s="209" t="str">
        <f t="shared" si="19"/>
        <v/>
      </c>
      <c r="J93" s="20"/>
      <c r="K93" s="102" t="str">
        <f t="shared" si="12"/>
        <v/>
      </c>
      <c r="L93" s="102"/>
      <c r="M93" s="208" t="str">
        <f t="shared" si="13"/>
        <v/>
      </c>
      <c r="N93" s="212" t="str">
        <f t="shared" si="14"/>
        <v/>
      </c>
      <c r="O93" s="205" t="str">
        <f t="shared" si="15"/>
        <v/>
      </c>
      <c r="P93" s="102" t="str">
        <f t="shared" si="16"/>
        <v/>
      </c>
      <c r="Q93" s="102" t="str">
        <f t="shared" si="17"/>
        <v/>
      </c>
      <c r="R93" s="208"/>
      <c r="S93" s="190"/>
      <c r="T93" s="18" t="str">
        <f t="shared" si="20"/>
        <v/>
      </c>
      <c r="U93" s="18"/>
      <c r="V93" s="18" t="str">
        <f t="shared" si="24"/>
        <v/>
      </c>
      <c r="W93" s="19"/>
      <c r="X93" s="190"/>
    </row>
    <row r="94" spans="2:24" s="55" customFormat="1" ht="25" customHeight="1" x14ac:dyDescent="0.2">
      <c r="B94" s="201"/>
      <c r="C94" s="197"/>
      <c r="D94" s="109"/>
      <c r="E94" s="20"/>
      <c r="F94" s="102"/>
      <c r="G94" s="208"/>
      <c r="H94" s="20" t="str">
        <f t="shared" si="18"/>
        <v/>
      </c>
      <c r="I94" s="209" t="str">
        <f t="shared" si="19"/>
        <v/>
      </c>
      <c r="J94" s="20"/>
      <c r="K94" s="102" t="str">
        <f t="shared" si="12"/>
        <v/>
      </c>
      <c r="L94" s="102"/>
      <c r="M94" s="208" t="str">
        <f t="shared" si="13"/>
        <v/>
      </c>
      <c r="N94" s="212" t="str">
        <f t="shared" si="14"/>
        <v/>
      </c>
      <c r="O94" s="205" t="str">
        <f t="shared" si="15"/>
        <v/>
      </c>
      <c r="P94" s="102" t="str">
        <f t="shared" si="16"/>
        <v/>
      </c>
      <c r="Q94" s="102" t="str">
        <f t="shared" si="17"/>
        <v/>
      </c>
      <c r="R94" s="208"/>
      <c r="S94" s="190"/>
      <c r="T94" s="18" t="str">
        <f t="shared" si="20"/>
        <v/>
      </c>
      <c r="U94" s="18"/>
      <c r="V94" s="18" t="str">
        <f t="shared" si="24"/>
        <v/>
      </c>
      <c r="W94" s="19"/>
      <c r="X94" s="190"/>
    </row>
    <row r="95" spans="2:24" s="55" customFormat="1" ht="25" customHeight="1" x14ac:dyDescent="0.2">
      <c r="B95" s="201"/>
      <c r="C95" s="197"/>
      <c r="D95" s="109"/>
      <c r="E95" s="20"/>
      <c r="F95" s="102"/>
      <c r="G95" s="208"/>
      <c r="H95" s="20" t="str">
        <f t="shared" si="18"/>
        <v/>
      </c>
      <c r="I95" s="209" t="str">
        <f t="shared" si="19"/>
        <v/>
      </c>
      <c r="J95" s="20"/>
      <c r="K95" s="102" t="str">
        <f t="shared" si="12"/>
        <v/>
      </c>
      <c r="L95" s="102"/>
      <c r="M95" s="208" t="str">
        <f t="shared" si="13"/>
        <v/>
      </c>
      <c r="N95" s="212" t="str">
        <f t="shared" si="14"/>
        <v/>
      </c>
      <c r="O95" s="205" t="str">
        <f t="shared" si="15"/>
        <v/>
      </c>
      <c r="P95" s="102" t="str">
        <f t="shared" si="16"/>
        <v/>
      </c>
      <c r="Q95" s="102" t="str">
        <f t="shared" si="17"/>
        <v/>
      </c>
      <c r="R95" s="208"/>
      <c r="S95" s="190"/>
      <c r="T95" s="18" t="str">
        <f t="shared" si="20"/>
        <v/>
      </c>
      <c r="U95" s="18"/>
      <c r="V95" s="18" t="str">
        <f t="shared" si="24"/>
        <v/>
      </c>
      <c r="W95" s="19"/>
      <c r="X95" s="190"/>
    </row>
    <row r="96" spans="2:24" s="55" customFormat="1" ht="25" customHeight="1" x14ac:dyDescent="0.2">
      <c r="B96" s="201"/>
      <c r="C96" s="197"/>
      <c r="D96" s="109"/>
      <c r="E96" s="20"/>
      <c r="F96" s="102"/>
      <c r="G96" s="208"/>
      <c r="H96" s="20" t="str">
        <f t="shared" si="18"/>
        <v/>
      </c>
      <c r="I96" s="209" t="str">
        <f t="shared" si="19"/>
        <v/>
      </c>
      <c r="J96" s="20"/>
      <c r="K96" s="102" t="str">
        <f t="shared" si="12"/>
        <v/>
      </c>
      <c r="L96" s="102"/>
      <c r="M96" s="208" t="str">
        <f t="shared" si="13"/>
        <v/>
      </c>
      <c r="N96" s="212" t="str">
        <f t="shared" si="14"/>
        <v/>
      </c>
      <c r="O96" s="205" t="str">
        <f t="shared" si="15"/>
        <v/>
      </c>
      <c r="P96" s="102" t="str">
        <f t="shared" si="16"/>
        <v/>
      </c>
      <c r="Q96" s="102" t="str">
        <f t="shared" si="17"/>
        <v/>
      </c>
      <c r="R96" s="208"/>
      <c r="S96" s="190"/>
      <c r="T96" s="18" t="str">
        <f t="shared" si="20"/>
        <v/>
      </c>
      <c r="U96" s="18"/>
      <c r="V96" s="18" t="str">
        <f t="shared" si="24"/>
        <v/>
      </c>
      <c r="W96" s="19"/>
      <c r="X96" s="190"/>
    </row>
    <row r="97" spans="2:24" s="55" customFormat="1" ht="25" customHeight="1" x14ac:dyDescent="0.2">
      <c r="B97" s="201"/>
      <c r="C97" s="197"/>
      <c r="D97" s="109"/>
      <c r="E97" s="20"/>
      <c r="F97" s="102"/>
      <c r="G97" s="208"/>
      <c r="H97" s="20" t="str">
        <f t="shared" si="18"/>
        <v/>
      </c>
      <c r="I97" s="209" t="str">
        <f t="shared" si="19"/>
        <v/>
      </c>
      <c r="J97" s="20"/>
      <c r="K97" s="102" t="str">
        <f t="shared" si="12"/>
        <v/>
      </c>
      <c r="L97" s="102"/>
      <c r="M97" s="208" t="str">
        <f t="shared" si="13"/>
        <v/>
      </c>
      <c r="N97" s="212" t="str">
        <f t="shared" si="14"/>
        <v/>
      </c>
      <c r="O97" s="205" t="str">
        <f t="shared" si="15"/>
        <v/>
      </c>
      <c r="P97" s="102" t="str">
        <f t="shared" si="16"/>
        <v/>
      </c>
      <c r="Q97" s="102" t="str">
        <f t="shared" si="17"/>
        <v/>
      </c>
      <c r="R97" s="208"/>
      <c r="S97" s="190"/>
      <c r="T97" s="18" t="str">
        <f t="shared" si="20"/>
        <v/>
      </c>
      <c r="U97" s="18"/>
      <c r="V97" s="18" t="str">
        <f t="shared" si="24"/>
        <v/>
      </c>
      <c r="W97" s="19"/>
      <c r="X97" s="190"/>
    </row>
    <row r="98" spans="2:24" s="55" customFormat="1" ht="25" customHeight="1" x14ac:dyDescent="0.2">
      <c r="B98" s="201"/>
      <c r="C98" s="197"/>
      <c r="D98" s="109"/>
      <c r="E98" s="20"/>
      <c r="F98" s="102"/>
      <c r="G98" s="208"/>
      <c r="H98" s="20" t="str">
        <f t="shared" si="18"/>
        <v/>
      </c>
      <c r="I98" s="209" t="str">
        <f t="shared" si="19"/>
        <v/>
      </c>
      <c r="J98" s="20"/>
      <c r="K98" s="102" t="str">
        <f t="shared" si="12"/>
        <v/>
      </c>
      <c r="L98" s="102"/>
      <c r="M98" s="208" t="str">
        <f t="shared" si="13"/>
        <v/>
      </c>
      <c r="N98" s="212" t="str">
        <f t="shared" si="14"/>
        <v/>
      </c>
      <c r="O98" s="205" t="str">
        <f t="shared" si="15"/>
        <v/>
      </c>
      <c r="P98" s="102" t="str">
        <f t="shared" si="16"/>
        <v/>
      </c>
      <c r="Q98" s="102" t="str">
        <f t="shared" si="17"/>
        <v/>
      </c>
      <c r="R98" s="208"/>
      <c r="S98" s="190"/>
      <c r="T98" s="18" t="str">
        <f t="shared" si="20"/>
        <v/>
      </c>
      <c r="U98" s="18"/>
      <c r="V98" s="18" t="str">
        <f t="shared" si="24"/>
        <v/>
      </c>
      <c r="W98" s="19"/>
      <c r="X98" s="190"/>
    </row>
    <row r="99" spans="2:24" s="55" customFormat="1" ht="25" customHeight="1" x14ac:dyDescent="0.2">
      <c r="B99" s="201"/>
      <c r="C99" s="197"/>
      <c r="D99" s="109"/>
      <c r="E99" s="20"/>
      <c r="F99" s="102"/>
      <c r="G99" s="208"/>
      <c r="H99" s="20" t="str">
        <f t="shared" si="18"/>
        <v/>
      </c>
      <c r="I99" s="209" t="str">
        <f t="shared" si="19"/>
        <v/>
      </c>
      <c r="J99" s="20"/>
      <c r="K99" s="102" t="str">
        <f t="shared" si="12"/>
        <v/>
      </c>
      <c r="L99" s="102"/>
      <c r="M99" s="208" t="str">
        <f t="shared" si="13"/>
        <v/>
      </c>
      <c r="N99" s="212" t="str">
        <f t="shared" si="14"/>
        <v/>
      </c>
      <c r="O99" s="205" t="str">
        <f t="shared" si="15"/>
        <v/>
      </c>
      <c r="P99" s="102" t="str">
        <f t="shared" si="16"/>
        <v/>
      </c>
      <c r="Q99" s="102" t="str">
        <f t="shared" si="17"/>
        <v/>
      </c>
      <c r="R99" s="208"/>
      <c r="S99" s="190"/>
      <c r="T99" s="18" t="str">
        <f t="shared" si="20"/>
        <v/>
      </c>
      <c r="U99" s="18"/>
      <c r="V99" s="18" t="str">
        <f t="shared" si="24"/>
        <v/>
      </c>
      <c r="W99" s="19"/>
      <c r="X99" s="190"/>
    </row>
    <row r="100" spans="2:24" s="55" customFormat="1" ht="25" customHeight="1" x14ac:dyDescent="0.2">
      <c r="B100" s="201"/>
      <c r="C100" s="197"/>
      <c r="D100" s="109"/>
      <c r="E100" s="20"/>
      <c r="F100" s="102"/>
      <c r="G100" s="208"/>
      <c r="H100" s="20" t="str">
        <f t="shared" si="18"/>
        <v/>
      </c>
      <c r="I100" s="209" t="str">
        <f t="shared" si="19"/>
        <v/>
      </c>
      <c r="J100" s="20"/>
      <c r="K100" s="102" t="str">
        <f t="shared" si="12"/>
        <v/>
      </c>
      <c r="L100" s="102"/>
      <c r="M100" s="208" t="str">
        <f t="shared" si="13"/>
        <v/>
      </c>
      <c r="N100" s="212" t="str">
        <f t="shared" si="14"/>
        <v/>
      </c>
      <c r="O100" s="205" t="str">
        <f t="shared" si="15"/>
        <v/>
      </c>
      <c r="P100" s="102" t="str">
        <f t="shared" si="16"/>
        <v/>
      </c>
      <c r="Q100" s="102" t="str">
        <f t="shared" si="17"/>
        <v/>
      </c>
      <c r="R100" s="208"/>
      <c r="S100" s="190"/>
      <c r="T100" s="18" t="str">
        <f t="shared" si="20"/>
        <v/>
      </c>
      <c r="U100" s="18"/>
      <c r="V100" s="18" t="str">
        <f t="shared" si="24"/>
        <v/>
      </c>
      <c r="W100" s="19"/>
      <c r="X100" s="190"/>
    </row>
    <row r="101" spans="2:24" s="55" customFormat="1" ht="25" customHeight="1" x14ac:dyDescent="0.2">
      <c r="B101" s="201"/>
      <c r="C101" s="197"/>
      <c r="D101" s="109"/>
      <c r="E101" s="20"/>
      <c r="F101" s="102"/>
      <c r="G101" s="208"/>
      <c r="H101" s="20" t="str">
        <f t="shared" si="18"/>
        <v/>
      </c>
      <c r="I101" s="209" t="str">
        <f t="shared" si="19"/>
        <v/>
      </c>
      <c r="J101" s="20"/>
      <c r="K101" s="102" t="str">
        <f t="shared" si="12"/>
        <v/>
      </c>
      <c r="L101" s="102"/>
      <c r="M101" s="208" t="str">
        <f t="shared" si="13"/>
        <v/>
      </c>
      <c r="N101" s="212" t="str">
        <f t="shared" si="14"/>
        <v/>
      </c>
      <c r="O101" s="205" t="str">
        <f t="shared" si="15"/>
        <v/>
      </c>
      <c r="P101" s="102" t="str">
        <f t="shared" si="16"/>
        <v/>
      </c>
      <c r="Q101" s="102" t="str">
        <f t="shared" si="17"/>
        <v/>
      </c>
      <c r="R101" s="208"/>
      <c r="S101" s="190"/>
      <c r="T101" s="18" t="str">
        <f t="shared" si="20"/>
        <v/>
      </c>
      <c r="U101" s="18"/>
      <c r="V101" s="18" t="str">
        <f t="shared" si="24"/>
        <v/>
      </c>
      <c r="W101" s="19"/>
      <c r="X101" s="190"/>
    </row>
    <row r="102" spans="2:24" s="55" customFormat="1" ht="25" customHeight="1" thickBot="1" x14ac:dyDescent="0.25">
      <c r="B102" s="203"/>
      <c r="C102" s="199"/>
      <c r="D102" s="110"/>
      <c r="E102" s="25"/>
      <c r="F102" s="206"/>
      <c r="G102" s="210"/>
      <c r="H102" s="25"/>
      <c r="I102" s="210"/>
      <c r="J102" s="25"/>
      <c r="K102" s="206"/>
      <c r="L102" s="206"/>
      <c r="M102" s="210"/>
      <c r="N102" s="25"/>
      <c r="O102" s="206"/>
      <c r="P102" s="206"/>
      <c r="Q102" s="206"/>
      <c r="R102" s="210"/>
      <c r="S102" s="192"/>
      <c r="T102" s="24" t="str">
        <f t="shared" si="20"/>
        <v/>
      </c>
      <c r="U102" s="24"/>
      <c r="V102" s="24" t="str">
        <f t="shared" si="24"/>
        <v/>
      </c>
      <c r="W102" s="23"/>
      <c r="X102" s="192"/>
    </row>
    <row r="103" spans="2:24" ht="25" customHeight="1" x14ac:dyDescent="0.2">
      <c r="V103" s="229"/>
    </row>
  </sheetData>
  <sheetProtection algorithmName="SHA-512" hashValue="ktGMWZjwy1ukMOy97hP6zfPVL4gNrouRkR+AN5mIMezolTWbiGaTRLrL49rlBY5CXS0onZvIQWJaKHy42eXW4g==" saltValue="/gVhZeWgNEgyGBPwuWoKYA==" spinCount="100000" sheet="1" objects="1" scenarios="1" selectLockedCells="1" selectUnlockedCells="1"/>
  <mergeCells count="5">
    <mergeCell ref="S6:W6"/>
    <mergeCell ref="N6:R6"/>
    <mergeCell ref="J6:M6"/>
    <mergeCell ref="H6:I6"/>
    <mergeCell ref="E6:G6"/>
  </mergeCells>
  <conditionalFormatting sqref="D8:D102">
    <cfRule type="cellIs" dxfId="12" priority="1" operator="equal">
      <formula>"Yes"</formula>
    </cfRule>
  </conditionalFormatting>
  <dataValidations disablePrompts="1" count="2">
    <dataValidation type="list" allowBlank="1" showInputMessage="1" showErrorMessage="1" sqref="F8:F102" xr:uid="{6509CB14-82EA-FD4F-92EC-02708193FABA}">
      <formula1>"mg,micrograms,gram,mL,mmol,units"</formula1>
    </dataValidation>
    <dataValidation type="list" allowBlank="1" showInputMessage="1" showErrorMessage="1" sqref="R8:R102" xr:uid="{CD59BA64-7B6D-7144-8CFF-80D06D26DE28}">
      <formula1>"0,1,2,3"</formula1>
    </dataValidation>
  </dataValidations>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39D37-8365-E74F-9663-BDA45B694914}">
  <sheetPr codeName="Sheet9">
    <tabColor rgb="FFFAB8E6"/>
  </sheetPr>
  <dimension ref="B2:L58"/>
  <sheetViews>
    <sheetView zoomScaleNormal="100" workbookViewId="0"/>
  </sheetViews>
  <sheetFormatPr baseColWidth="10" defaultColWidth="10.83203125" defaultRowHeight="15" x14ac:dyDescent="0.2"/>
  <cols>
    <col min="1" max="1" width="10.83203125" style="54"/>
    <col min="2" max="2" width="26.83203125" style="54" customWidth="1"/>
    <col min="3" max="3" width="27.83203125" style="54" customWidth="1"/>
    <col min="4" max="8" width="10.83203125" style="54"/>
    <col min="9" max="10" width="13.83203125" style="54" customWidth="1"/>
    <col min="11" max="16384" width="10.83203125" style="54"/>
  </cols>
  <sheetData>
    <row r="2" spans="2:11" s="166" customFormat="1" ht="30" customHeight="1" x14ac:dyDescent="0.2">
      <c r="B2" s="165" t="s">
        <v>178</v>
      </c>
      <c r="C2" s="164" t="str">
        <f>IF(Formulary!$C$2&gt;=30,IF(Formulary!$C$2&gt;100,100,Formulary!$C$2),"")</f>
        <v/>
      </c>
    </row>
    <row r="3" spans="2:11" s="166" customFormat="1" ht="30" customHeight="1" x14ac:dyDescent="0.2">
      <c r="B3" s="167" t="s">
        <v>168</v>
      </c>
      <c r="C3" s="164" t="str">
        <f>IFERROR(FLOOR($C$2,2),"")</f>
        <v/>
      </c>
      <c r="E3" s="166" t="str">
        <f>"//FLOOR function will round down weight to closest 2kg (e.g. 75 will round down to 74, not 76)"</f>
        <v>//FLOOR function will round down weight to closest 2kg (e.g. 75 will round down to 74, not 76)</v>
      </c>
    </row>
    <row r="4" spans="2:11" ht="16" thickBot="1" x14ac:dyDescent="0.25"/>
    <row r="5" spans="2:11" ht="35" customHeight="1" thickBot="1" x14ac:dyDescent="0.25">
      <c r="B5" s="922" t="s">
        <v>169</v>
      </c>
      <c r="C5" s="923"/>
      <c r="D5" s="923"/>
      <c r="E5" s="923"/>
      <c r="F5" s="923"/>
      <c r="G5" s="923"/>
      <c r="H5" s="923"/>
      <c r="I5" s="923"/>
      <c r="J5" s="924"/>
    </row>
    <row r="6" spans="2:11" ht="52" customHeight="1" thickBot="1" x14ac:dyDescent="0.25">
      <c r="B6" s="122" t="s">
        <v>170</v>
      </c>
      <c r="C6" s="122" t="s">
        <v>171</v>
      </c>
      <c r="D6" s="925" t="s">
        <v>174</v>
      </c>
      <c r="E6" s="926"/>
      <c r="F6" s="927"/>
      <c r="G6" s="928" t="s">
        <v>172</v>
      </c>
      <c r="H6" s="929"/>
      <c r="I6" s="117" t="s">
        <v>173</v>
      </c>
      <c r="J6" s="116" t="s">
        <v>97</v>
      </c>
    </row>
    <row r="7" spans="2:11" ht="52" customHeight="1" thickBot="1" x14ac:dyDescent="0.25">
      <c r="B7" s="84"/>
      <c r="C7" s="84"/>
      <c r="D7" s="930" t="s">
        <v>177</v>
      </c>
      <c r="E7" s="931"/>
      <c r="F7" s="931"/>
      <c r="G7" s="931"/>
      <c r="H7" s="931"/>
      <c r="I7" s="931"/>
      <c r="J7" s="932"/>
    </row>
    <row r="8" spans="2:11" ht="44" customHeight="1" thickBot="1" x14ac:dyDescent="0.25">
      <c r="B8" s="84"/>
      <c r="C8" s="84"/>
      <c r="D8" s="118">
        <v>0.01</v>
      </c>
      <c r="E8" s="119">
        <v>0.02</v>
      </c>
      <c r="F8" s="120">
        <v>0.05</v>
      </c>
      <c r="G8" s="118">
        <v>1</v>
      </c>
      <c r="H8" s="120">
        <v>2</v>
      </c>
      <c r="I8" s="84">
        <v>0.5</v>
      </c>
      <c r="J8" s="121">
        <v>0.1</v>
      </c>
    </row>
    <row r="9" spans="2:11" s="56" customFormat="1" ht="24" customHeight="1" thickBot="1" x14ac:dyDescent="0.25">
      <c r="B9" s="84" t="s">
        <v>175</v>
      </c>
      <c r="C9" s="84" t="s">
        <v>176</v>
      </c>
      <c r="D9" s="118" t="s">
        <v>7</v>
      </c>
      <c r="E9" s="119" t="s">
        <v>7</v>
      </c>
      <c r="F9" s="120" t="s">
        <v>7</v>
      </c>
      <c r="G9" s="118" t="s">
        <v>7</v>
      </c>
      <c r="H9" s="120" t="s">
        <v>7</v>
      </c>
      <c r="I9" s="84" t="s">
        <v>7</v>
      </c>
      <c r="J9" s="84" t="s">
        <v>7</v>
      </c>
      <c r="K9" s="168"/>
    </row>
    <row r="10" spans="2:11" s="56" customFormat="1" ht="24" customHeight="1" x14ac:dyDescent="0.2">
      <c r="B10" s="123">
        <v>30</v>
      </c>
      <c r="C10" s="124">
        <v>55</v>
      </c>
      <c r="D10" s="125">
        <v>1</v>
      </c>
      <c r="E10" s="126">
        <v>2</v>
      </c>
      <c r="F10" s="127">
        <v>5</v>
      </c>
      <c r="G10" s="128">
        <v>100</v>
      </c>
      <c r="H10" s="129">
        <v>200</v>
      </c>
      <c r="I10" s="130">
        <v>50</v>
      </c>
      <c r="J10" s="131">
        <v>10</v>
      </c>
    </row>
    <row r="11" spans="2:11" s="56" customFormat="1" ht="24" customHeight="1" x14ac:dyDescent="0.2">
      <c r="B11" s="132">
        <v>32</v>
      </c>
      <c r="C11" s="133">
        <v>52</v>
      </c>
      <c r="D11" s="134">
        <v>1</v>
      </c>
      <c r="E11" s="135">
        <v>2</v>
      </c>
      <c r="F11" s="136">
        <v>5</v>
      </c>
      <c r="G11" s="137">
        <v>100</v>
      </c>
      <c r="H11" s="138">
        <v>200</v>
      </c>
      <c r="I11" s="139">
        <v>50</v>
      </c>
      <c r="J11" s="140">
        <v>10</v>
      </c>
    </row>
    <row r="12" spans="2:11" s="56" customFormat="1" ht="24" customHeight="1" x14ac:dyDescent="0.2">
      <c r="B12" s="132">
        <v>34</v>
      </c>
      <c r="C12" s="133">
        <v>49</v>
      </c>
      <c r="D12" s="134">
        <v>1</v>
      </c>
      <c r="E12" s="135">
        <v>2</v>
      </c>
      <c r="F12" s="136">
        <v>5</v>
      </c>
      <c r="G12" s="137">
        <v>100</v>
      </c>
      <c r="H12" s="138">
        <v>200</v>
      </c>
      <c r="I12" s="139">
        <v>50</v>
      </c>
      <c r="J12" s="140">
        <v>10</v>
      </c>
    </row>
    <row r="13" spans="2:11" s="56" customFormat="1" ht="24" customHeight="1" x14ac:dyDescent="0.2">
      <c r="B13" s="132">
        <v>36</v>
      </c>
      <c r="C13" s="133">
        <v>46</v>
      </c>
      <c r="D13" s="134">
        <v>1</v>
      </c>
      <c r="E13" s="135">
        <v>2</v>
      </c>
      <c r="F13" s="136">
        <v>5</v>
      </c>
      <c r="G13" s="137">
        <v>100</v>
      </c>
      <c r="H13" s="138">
        <v>200</v>
      </c>
      <c r="I13" s="139">
        <v>50</v>
      </c>
      <c r="J13" s="140">
        <v>10</v>
      </c>
    </row>
    <row r="14" spans="2:11" s="56" customFormat="1" ht="24" customHeight="1" x14ac:dyDescent="0.2">
      <c r="B14" s="132">
        <v>38</v>
      </c>
      <c r="C14" s="133">
        <v>44</v>
      </c>
      <c r="D14" s="134">
        <v>1</v>
      </c>
      <c r="E14" s="135">
        <v>2</v>
      </c>
      <c r="F14" s="136">
        <v>5</v>
      </c>
      <c r="G14" s="137">
        <v>100</v>
      </c>
      <c r="H14" s="138">
        <v>200</v>
      </c>
      <c r="I14" s="139">
        <v>50</v>
      </c>
      <c r="J14" s="140">
        <v>10</v>
      </c>
    </row>
    <row r="15" spans="2:11" s="56" customFormat="1" ht="24" customHeight="1" x14ac:dyDescent="0.2">
      <c r="B15" s="132">
        <v>40</v>
      </c>
      <c r="C15" s="133">
        <v>42</v>
      </c>
      <c r="D15" s="134">
        <v>1</v>
      </c>
      <c r="E15" s="135">
        <v>2</v>
      </c>
      <c r="F15" s="136">
        <v>5</v>
      </c>
      <c r="G15" s="137">
        <v>100</v>
      </c>
      <c r="H15" s="138">
        <v>200</v>
      </c>
      <c r="I15" s="139">
        <v>50</v>
      </c>
      <c r="J15" s="140">
        <v>10</v>
      </c>
    </row>
    <row r="16" spans="2:11" s="56" customFormat="1" ht="24" customHeight="1" x14ac:dyDescent="0.2">
      <c r="B16" s="132">
        <v>42</v>
      </c>
      <c r="C16" s="133">
        <v>40</v>
      </c>
      <c r="D16" s="134">
        <v>1</v>
      </c>
      <c r="E16" s="135">
        <v>2</v>
      </c>
      <c r="F16" s="136">
        <v>5</v>
      </c>
      <c r="G16" s="137">
        <v>100</v>
      </c>
      <c r="H16" s="138">
        <v>200</v>
      </c>
      <c r="I16" s="139">
        <v>50</v>
      </c>
      <c r="J16" s="140">
        <v>10</v>
      </c>
    </row>
    <row r="17" spans="2:10" s="56" customFormat="1" ht="24" customHeight="1" x14ac:dyDescent="0.2">
      <c r="B17" s="132">
        <v>44</v>
      </c>
      <c r="C17" s="133">
        <v>38</v>
      </c>
      <c r="D17" s="134">
        <v>1</v>
      </c>
      <c r="E17" s="135">
        <v>2</v>
      </c>
      <c r="F17" s="136">
        <v>5</v>
      </c>
      <c r="G17" s="137">
        <v>100</v>
      </c>
      <c r="H17" s="138">
        <v>200</v>
      </c>
      <c r="I17" s="139">
        <v>50</v>
      </c>
      <c r="J17" s="140">
        <v>10</v>
      </c>
    </row>
    <row r="18" spans="2:10" s="56" customFormat="1" ht="24" customHeight="1" x14ac:dyDescent="0.2">
      <c r="B18" s="132">
        <v>46</v>
      </c>
      <c r="C18" s="133">
        <v>36</v>
      </c>
      <c r="D18" s="134">
        <v>1</v>
      </c>
      <c r="E18" s="135">
        <v>2</v>
      </c>
      <c r="F18" s="136">
        <v>5</v>
      </c>
      <c r="G18" s="137">
        <v>100</v>
      </c>
      <c r="H18" s="138">
        <v>200</v>
      </c>
      <c r="I18" s="139">
        <v>50</v>
      </c>
      <c r="J18" s="140">
        <v>10</v>
      </c>
    </row>
    <row r="19" spans="2:10" s="56" customFormat="1" ht="24" customHeight="1" x14ac:dyDescent="0.2">
      <c r="B19" s="132">
        <v>48</v>
      </c>
      <c r="C19" s="133">
        <v>35</v>
      </c>
      <c r="D19" s="134">
        <v>1</v>
      </c>
      <c r="E19" s="135">
        <v>2</v>
      </c>
      <c r="F19" s="136">
        <v>5</v>
      </c>
      <c r="G19" s="137">
        <v>100</v>
      </c>
      <c r="H19" s="138">
        <v>200</v>
      </c>
      <c r="I19" s="139">
        <v>50</v>
      </c>
      <c r="J19" s="140">
        <v>10</v>
      </c>
    </row>
    <row r="20" spans="2:10" s="56" customFormat="1" ht="24" customHeight="1" x14ac:dyDescent="0.2">
      <c r="B20" s="132">
        <v>50</v>
      </c>
      <c r="C20" s="133">
        <v>33</v>
      </c>
      <c r="D20" s="134">
        <v>1</v>
      </c>
      <c r="E20" s="135">
        <v>2</v>
      </c>
      <c r="F20" s="136">
        <v>5</v>
      </c>
      <c r="G20" s="137">
        <v>100</v>
      </c>
      <c r="H20" s="138">
        <v>200</v>
      </c>
      <c r="I20" s="139">
        <v>50</v>
      </c>
      <c r="J20" s="140">
        <v>10</v>
      </c>
    </row>
    <row r="21" spans="2:10" s="56" customFormat="1" ht="24" customHeight="1" x14ac:dyDescent="0.2">
      <c r="B21" s="132">
        <v>52</v>
      </c>
      <c r="C21" s="133">
        <v>32</v>
      </c>
      <c r="D21" s="134">
        <v>1</v>
      </c>
      <c r="E21" s="135">
        <v>2</v>
      </c>
      <c r="F21" s="136">
        <v>5</v>
      </c>
      <c r="G21" s="137">
        <v>100</v>
      </c>
      <c r="H21" s="138">
        <v>200</v>
      </c>
      <c r="I21" s="139">
        <v>50</v>
      </c>
      <c r="J21" s="140">
        <v>10</v>
      </c>
    </row>
    <row r="22" spans="2:10" s="56" customFormat="1" ht="24" customHeight="1" thickBot="1" x14ac:dyDescent="0.25">
      <c r="B22" s="132">
        <v>54</v>
      </c>
      <c r="C22" s="133">
        <v>31</v>
      </c>
      <c r="D22" s="134">
        <v>1</v>
      </c>
      <c r="E22" s="135">
        <v>2</v>
      </c>
      <c r="F22" s="136">
        <v>5</v>
      </c>
      <c r="G22" s="137">
        <v>100</v>
      </c>
      <c r="H22" s="138">
        <v>200</v>
      </c>
      <c r="I22" s="139">
        <v>50</v>
      </c>
      <c r="J22" s="140">
        <v>10</v>
      </c>
    </row>
    <row r="23" spans="2:10" s="56" customFormat="1" ht="24" customHeight="1" x14ac:dyDescent="0.2">
      <c r="B23" s="123">
        <v>56</v>
      </c>
      <c r="C23" s="124">
        <v>60</v>
      </c>
      <c r="D23" s="141">
        <v>2</v>
      </c>
      <c r="E23" s="142">
        <v>4</v>
      </c>
      <c r="F23" s="143">
        <v>10</v>
      </c>
      <c r="G23" s="144">
        <v>200</v>
      </c>
      <c r="H23" s="145">
        <v>400</v>
      </c>
      <c r="I23" s="146">
        <v>100</v>
      </c>
      <c r="J23" s="147">
        <v>20</v>
      </c>
    </row>
    <row r="24" spans="2:10" s="56" customFormat="1" ht="24" customHeight="1" x14ac:dyDescent="0.2">
      <c r="B24" s="132">
        <v>58</v>
      </c>
      <c r="C24" s="133">
        <v>57</v>
      </c>
      <c r="D24" s="148">
        <v>2</v>
      </c>
      <c r="E24" s="149">
        <v>4</v>
      </c>
      <c r="F24" s="150">
        <v>10</v>
      </c>
      <c r="G24" s="151">
        <v>200</v>
      </c>
      <c r="H24" s="152">
        <v>400</v>
      </c>
      <c r="I24" s="153">
        <v>100</v>
      </c>
      <c r="J24" s="154">
        <v>20</v>
      </c>
    </row>
    <row r="25" spans="2:10" s="56" customFormat="1" ht="24" customHeight="1" x14ac:dyDescent="0.2">
      <c r="B25" s="132">
        <v>60</v>
      </c>
      <c r="C25" s="133">
        <v>56</v>
      </c>
      <c r="D25" s="148">
        <v>2</v>
      </c>
      <c r="E25" s="149">
        <v>4</v>
      </c>
      <c r="F25" s="150">
        <v>10</v>
      </c>
      <c r="G25" s="151">
        <v>200</v>
      </c>
      <c r="H25" s="152">
        <v>400</v>
      </c>
      <c r="I25" s="153">
        <v>100</v>
      </c>
      <c r="J25" s="154">
        <v>20</v>
      </c>
    </row>
    <row r="26" spans="2:10" s="56" customFormat="1" ht="24" customHeight="1" x14ac:dyDescent="0.2">
      <c r="B26" s="132">
        <v>62</v>
      </c>
      <c r="C26" s="133">
        <v>54</v>
      </c>
      <c r="D26" s="148">
        <v>2</v>
      </c>
      <c r="E26" s="149">
        <v>4</v>
      </c>
      <c r="F26" s="150">
        <v>10</v>
      </c>
      <c r="G26" s="151">
        <v>200</v>
      </c>
      <c r="H26" s="152">
        <v>400</v>
      </c>
      <c r="I26" s="153">
        <v>100</v>
      </c>
      <c r="J26" s="154">
        <v>20</v>
      </c>
    </row>
    <row r="27" spans="2:10" s="56" customFormat="1" ht="24" customHeight="1" x14ac:dyDescent="0.2">
      <c r="B27" s="132">
        <v>64</v>
      </c>
      <c r="C27" s="133">
        <v>52</v>
      </c>
      <c r="D27" s="148">
        <v>2</v>
      </c>
      <c r="E27" s="149">
        <v>4</v>
      </c>
      <c r="F27" s="150">
        <v>10</v>
      </c>
      <c r="G27" s="151">
        <v>200</v>
      </c>
      <c r="H27" s="152">
        <v>400</v>
      </c>
      <c r="I27" s="153">
        <v>100</v>
      </c>
      <c r="J27" s="154">
        <v>20</v>
      </c>
    </row>
    <row r="28" spans="2:10" s="56" customFormat="1" ht="24" customHeight="1" x14ac:dyDescent="0.2">
      <c r="B28" s="132">
        <v>66</v>
      </c>
      <c r="C28" s="133">
        <v>51</v>
      </c>
      <c r="D28" s="148">
        <v>2</v>
      </c>
      <c r="E28" s="149">
        <v>4</v>
      </c>
      <c r="F28" s="150">
        <v>10</v>
      </c>
      <c r="G28" s="151">
        <v>200</v>
      </c>
      <c r="H28" s="152">
        <v>400</v>
      </c>
      <c r="I28" s="153">
        <v>100</v>
      </c>
      <c r="J28" s="154">
        <v>20</v>
      </c>
    </row>
    <row r="29" spans="2:10" s="56" customFormat="1" ht="24" customHeight="1" x14ac:dyDescent="0.2">
      <c r="B29" s="132">
        <v>68</v>
      </c>
      <c r="C29" s="133">
        <v>49</v>
      </c>
      <c r="D29" s="148">
        <v>2</v>
      </c>
      <c r="E29" s="149">
        <v>4</v>
      </c>
      <c r="F29" s="150">
        <v>10</v>
      </c>
      <c r="G29" s="151">
        <v>200</v>
      </c>
      <c r="H29" s="152">
        <v>400</v>
      </c>
      <c r="I29" s="153">
        <v>100</v>
      </c>
      <c r="J29" s="154">
        <v>20</v>
      </c>
    </row>
    <row r="30" spans="2:10" s="56" customFormat="1" ht="24" customHeight="1" x14ac:dyDescent="0.2">
      <c r="B30" s="132">
        <v>70</v>
      </c>
      <c r="C30" s="133">
        <v>48</v>
      </c>
      <c r="D30" s="148">
        <v>2</v>
      </c>
      <c r="E30" s="149">
        <v>4</v>
      </c>
      <c r="F30" s="150">
        <v>10</v>
      </c>
      <c r="G30" s="151">
        <v>200</v>
      </c>
      <c r="H30" s="152">
        <v>400</v>
      </c>
      <c r="I30" s="153">
        <v>100</v>
      </c>
      <c r="J30" s="154">
        <v>20</v>
      </c>
    </row>
    <row r="31" spans="2:10" s="56" customFormat="1" ht="24" customHeight="1" x14ac:dyDescent="0.2">
      <c r="B31" s="132">
        <v>72</v>
      </c>
      <c r="C31" s="133">
        <v>46</v>
      </c>
      <c r="D31" s="148">
        <v>2</v>
      </c>
      <c r="E31" s="149">
        <v>4</v>
      </c>
      <c r="F31" s="150">
        <v>10</v>
      </c>
      <c r="G31" s="151">
        <v>200</v>
      </c>
      <c r="H31" s="152">
        <v>400</v>
      </c>
      <c r="I31" s="153">
        <v>100</v>
      </c>
      <c r="J31" s="154">
        <v>20</v>
      </c>
    </row>
    <row r="32" spans="2:10" s="56" customFormat="1" ht="24" customHeight="1" x14ac:dyDescent="0.2">
      <c r="B32" s="132">
        <v>74</v>
      </c>
      <c r="C32" s="133">
        <v>45</v>
      </c>
      <c r="D32" s="148">
        <v>2</v>
      </c>
      <c r="E32" s="149">
        <v>4</v>
      </c>
      <c r="F32" s="150">
        <v>10</v>
      </c>
      <c r="G32" s="151">
        <v>200</v>
      </c>
      <c r="H32" s="152">
        <v>400</v>
      </c>
      <c r="I32" s="153">
        <v>100</v>
      </c>
      <c r="J32" s="154">
        <v>20</v>
      </c>
    </row>
    <row r="33" spans="2:10" s="56" customFormat="1" ht="24" customHeight="1" x14ac:dyDescent="0.2">
      <c r="B33" s="132">
        <v>76</v>
      </c>
      <c r="C33" s="133">
        <v>44</v>
      </c>
      <c r="D33" s="148">
        <v>2</v>
      </c>
      <c r="E33" s="149">
        <v>4</v>
      </c>
      <c r="F33" s="150">
        <v>10</v>
      </c>
      <c r="G33" s="151">
        <v>200</v>
      </c>
      <c r="H33" s="152">
        <v>400</v>
      </c>
      <c r="I33" s="153">
        <v>100</v>
      </c>
      <c r="J33" s="154">
        <v>20</v>
      </c>
    </row>
    <row r="34" spans="2:10" s="56" customFormat="1" ht="24" customHeight="1" x14ac:dyDescent="0.2">
      <c r="B34" s="132">
        <v>78</v>
      </c>
      <c r="C34" s="133">
        <v>43</v>
      </c>
      <c r="D34" s="148">
        <v>2</v>
      </c>
      <c r="E34" s="149">
        <v>4</v>
      </c>
      <c r="F34" s="150">
        <v>10</v>
      </c>
      <c r="G34" s="151">
        <v>200</v>
      </c>
      <c r="H34" s="152">
        <v>400</v>
      </c>
      <c r="I34" s="153">
        <v>100</v>
      </c>
      <c r="J34" s="154">
        <v>20</v>
      </c>
    </row>
    <row r="35" spans="2:10" s="56" customFormat="1" ht="24" customHeight="1" x14ac:dyDescent="0.2">
      <c r="B35" s="132">
        <v>80</v>
      </c>
      <c r="C35" s="133">
        <v>42</v>
      </c>
      <c r="D35" s="148">
        <v>2</v>
      </c>
      <c r="E35" s="149">
        <v>4</v>
      </c>
      <c r="F35" s="150">
        <v>10</v>
      </c>
      <c r="G35" s="151">
        <v>200</v>
      </c>
      <c r="H35" s="152">
        <v>400</v>
      </c>
      <c r="I35" s="153">
        <v>100</v>
      </c>
      <c r="J35" s="154">
        <v>20</v>
      </c>
    </row>
    <row r="36" spans="2:10" s="56" customFormat="1" ht="24" customHeight="1" x14ac:dyDescent="0.2">
      <c r="B36" s="132">
        <v>82</v>
      </c>
      <c r="C36" s="133">
        <v>41</v>
      </c>
      <c r="D36" s="148">
        <v>2</v>
      </c>
      <c r="E36" s="149">
        <v>4</v>
      </c>
      <c r="F36" s="150">
        <v>10</v>
      </c>
      <c r="G36" s="151">
        <v>200</v>
      </c>
      <c r="H36" s="152">
        <v>400</v>
      </c>
      <c r="I36" s="153">
        <v>100</v>
      </c>
      <c r="J36" s="154">
        <v>20</v>
      </c>
    </row>
    <row r="37" spans="2:10" s="56" customFormat="1" ht="24" customHeight="1" x14ac:dyDescent="0.2">
      <c r="B37" s="132">
        <v>84</v>
      </c>
      <c r="C37" s="133">
        <v>40</v>
      </c>
      <c r="D37" s="148">
        <v>2</v>
      </c>
      <c r="E37" s="149">
        <v>4</v>
      </c>
      <c r="F37" s="150">
        <v>10</v>
      </c>
      <c r="G37" s="151">
        <v>200</v>
      </c>
      <c r="H37" s="152">
        <v>400</v>
      </c>
      <c r="I37" s="153">
        <v>100</v>
      </c>
      <c r="J37" s="154">
        <v>20</v>
      </c>
    </row>
    <row r="38" spans="2:10" s="56" customFormat="1" ht="24" customHeight="1" x14ac:dyDescent="0.2">
      <c r="B38" s="132">
        <v>86</v>
      </c>
      <c r="C38" s="133">
        <v>39</v>
      </c>
      <c r="D38" s="148">
        <v>2</v>
      </c>
      <c r="E38" s="149">
        <v>4</v>
      </c>
      <c r="F38" s="150">
        <v>10</v>
      </c>
      <c r="G38" s="151">
        <v>200</v>
      </c>
      <c r="H38" s="152">
        <v>400</v>
      </c>
      <c r="I38" s="153">
        <v>100</v>
      </c>
      <c r="J38" s="154">
        <v>20</v>
      </c>
    </row>
    <row r="39" spans="2:10" s="56" customFormat="1" ht="24" customHeight="1" x14ac:dyDescent="0.2">
      <c r="B39" s="132">
        <v>88</v>
      </c>
      <c r="C39" s="133">
        <v>38</v>
      </c>
      <c r="D39" s="148">
        <v>2</v>
      </c>
      <c r="E39" s="149">
        <v>4</v>
      </c>
      <c r="F39" s="150">
        <v>10</v>
      </c>
      <c r="G39" s="151">
        <v>200</v>
      </c>
      <c r="H39" s="152">
        <v>400</v>
      </c>
      <c r="I39" s="153">
        <v>100</v>
      </c>
      <c r="J39" s="154">
        <v>20</v>
      </c>
    </row>
    <row r="40" spans="2:10" s="56" customFormat="1" ht="24" customHeight="1" x14ac:dyDescent="0.2">
      <c r="B40" s="132">
        <v>90</v>
      </c>
      <c r="C40" s="133">
        <v>37</v>
      </c>
      <c r="D40" s="148">
        <v>2</v>
      </c>
      <c r="E40" s="149">
        <v>4</v>
      </c>
      <c r="F40" s="150">
        <v>10</v>
      </c>
      <c r="G40" s="151">
        <v>200</v>
      </c>
      <c r="H40" s="152">
        <v>400</v>
      </c>
      <c r="I40" s="153">
        <v>100</v>
      </c>
      <c r="J40" s="154">
        <v>20</v>
      </c>
    </row>
    <row r="41" spans="2:10" s="56" customFormat="1" ht="24" customHeight="1" x14ac:dyDescent="0.2">
      <c r="B41" s="132">
        <v>92</v>
      </c>
      <c r="C41" s="133">
        <v>36</v>
      </c>
      <c r="D41" s="148">
        <v>2</v>
      </c>
      <c r="E41" s="149">
        <v>4</v>
      </c>
      <c r="F41" s="150">
        <v>10</v>
      </c>
      <c r="G41" s="151">
        <v>200</v>
      </c>
      <c r="H41" s="152">
        <v>400</v>
      </c>
      <c r="I41" s="153">
        <v>100</v>
      </c>
      <c r="J41" s="154">
        <v>20</v>
      </c>
    </row>
    <row r="42" spans="2:10" s="56" customFormat="1" ht="24" customHeight="1" x14ac:dyDescent="0.2">
      <c r="B42" s="132">
        <v>94</v>
      </c>
      <c r="C42" s="133">
        <v>35</v>
      </c>
      <c r="D42" s="148">
        <v>2</v>
      </c>
      <c r="E42" s="149">
        <v>4</v>
      </c>
      <c r="F42" s="150">
        <v>10</v>
      </c>
      <c r="G42" s="151">
        <v>200</v>
      </c>
      <c r="H42" s="152">
        <v>400</v>
      </c>
      <c r="I42" s="153">
        <v>100</v>
      </c>
      <c r="J42" s="154">
        <v>20</v>
      </c>
    </row>
    <row r="43" spans="2:10" s="56" customFormat="1" ht="24" customHeight="1" x14ac:dyDescent="0.2">
      <c r="B43" s="132">
        <v>96</v>
      </c>
      <c r="C43" s="133">
        <v>35</v>
      </c>
      <c r="D43" s="148">
        <v>2</v>
      </c>
      <c r="E43" s="149">
        <v>4</v>
      </c>
      <c r="F43" s="150">
        <v>10</v>
      </c>
      <c r="G43" s="151">
        <v>200</v>
      </c>
      <c r="H43" s="152">
        <v>400</v>
      </c>
      <c r="I43" s="153">
        <v>100</v>
      </c>
      <c r="J43" s="154">
        <v>20</v>
      </c>
    </row>
    <row r="44" spans="2:10" s="56" customFormat="1" ht="24" customHeight="1" x14ac:dyDescent="0.2">
      <c r="B44" s="132">
        <v>98</v>
      </c>
      <c r="C44" s="133">
        <v>34</v>
      </c>
      <c r="D44" s="148">
        <v>2</v>
      </c>
      <c r="E44" s="149">
        <v>4</v>
      </c>
      <c r="F44" s="150">
        <v>10</v>
      </c>
      <c r="G44" s="151">
        <v>200</v>
      </c>
      <c r="H44" s="152">
        <v>400</v>
      </c>
      <c r="I44" s="153">
        <v>100</v>
      </c>
      <c r="J44" s="154">
        <v>20</v>
      </c>
    </row>
    <row r="45" spans="2:10" s="56" customFormat="1" ht="24" customHeight="1" thickBot="1" x14ac:dyDescent="0.25">
      <c r="B45" s="155">
        <v>100</v>
      </c>
      <c r="C45" s="156">
        <v>33</v>
      </c>
      <c r="D45" s="157">
        <v>2</v>
      </c>
      <c r="E45" s="158">
        <v>4</v>
      </c>
      <c r="F45" s="159">
        <v>10</v>
      </c>
      <c r="G45" s="160">
        <v>200</v>
      </c>
      <c r="H45" s="161">
        <v>400</v>
      </c>
      <c r="I45" s="162">
        <v>100</v>
      </c>
      <c r="J45" s="163">
        <v>20</v>
      </c>
    </row>
    <row r="46" spans="2:10" ht="24" customHeight="1" x14ac:dyDescent="0.2"/>
    <row r="47" spans="2:10" ht="24" customHeight="1" x14ac:dyDescent="0.2"/>
    <row r="48" spans="2:10" ht="24" customHeight="1" thickBot="1" x14ac:dyDescent="0.3">
      <c r="B48" s="175" t="s">
        <v>179</v>
      </c>
    </row>
    <row r="49" spans="2:12" ht="38" customHeight="1" thickBot="1" x14ac:dyDescent="0.25">
      <c r="B49" s="169" t="str">
        <f>C3</f>
        <v/>
      </c>
      <c r="C49" s="84" t="str">
        <f>IFERROR(VLOOKUP($B$49,InotropeTable,2,FALSE),"")</f>
        <v/>
      </c>
      <c r="D49" s="170" t="str">
        <f>IFERROR(VLOOKUP($B$49,InotropeTable,3,FALSE),"")</f>
        <v/>
      </c>
      <c r="E49" s="171" t="str">
        <f>IFERROR(VLOOKUP($B$49,InotropeTable,4,FALSE),"")</f>
        <v/>
      </c>
      <c r="F49" s="172" t="str">
        <f>IFERROR(VLOOKUP($B$49,InotropeTable,5,FALSE),"")</f>
        <v/>
      </c>
      <c r="G49" s="173" t="str">
        <f>IFERROR(VLOOKUP($B$49,InotropeTable,6,FALSE),"")</f>
        <v/>
      </c>
      <c r="H49" s="173" t="str">
        <f>IFERROR(VLOOKUP($B$49,InotropeTable,7,FALSE),"")</f>
        <v/>
      </c>
      <c r="I49" s="174" t="str">
        <f>IFERROR(VLOOKUP($B$49,InotropeTable,8,FALSE),"")</f>
        <v/>
      </c>
      <c r="J49" s="116" t="str">
        <f>IFERROR(VLOOKUP($B$49,InotropeTable,9,FALSE),"")</f>
        <v/>
      </c>
      <c r="L49" s="166" t="str">
        <f>"//Data from above is drawn into this one using VLOOKUP for weight (nearest 2kg) from big table. The infusions worksheet then draws data from this table for patients over 30kg"</f>
        <v>//Data from above is drawn into this one using VLOOKUP for weight (nearest 2kg) from big table. The infusions worksheet then draws data from this table for patients over 30kg</v>
      </c>
    </row>
    <row r="50" spans="2:12" ht="24" customHeight="1" x14ac:dyDescent="0.2"/>
    <row r="51" spans="2:12" ht="24" customHeight="1" x14ac:dyDescent="0.2"/>
    <row r="52" spans="2:12" ht="24" customHeight="1" x14ac:dyDescent="0.25">
      <c r="B52" s="175" t="s">
        <v>180</v>
      </c>
    </row>
    <row r="53" spans="2:12" ht="24" customHeight="1" x14ac:dyDescent="0.2">
      <c r="B53" s="54" t="s">
        <v>181</v>
      </c>
    </row>
    <row r="54" spans="2:12" ht="24" customHeight="1" x14ac:dyDescent="0.2">
      <c r="B54" s="54" t="s">
        <v>182</v>
      </c>
    </row>
    <row r="55" spans="2:12" ht="24" customHeight="1" x14ac:dyDescent="0.2">
      <c r="B55" s="54" t="s">
        <v>183</v>
      </c>
    </row>
    <row r="56" spans="2:12" ht="24" customHeight="1" x14ac:dyDescent="0.2">
      <c r="B56" s="54" t="s">
        <v>184</v>
      </c>
    </row>
    <row r="57" spans="2:12" ht="24" customHeight="1" x14ac:dyDescent="0.2">
      <c r="B57" s="54" t="s">
        <v>185</v>
      </c>
    </row>
    <row r="58" spans="2:12" ht="24" customHeight="1" x14ac:dyDescent="0.2">
      <c r="B58" s="54" t="s">
        <v>186</v>
      </c>
    </row>
  </sheetData>
  <sheetProtection algorithmName="SHA-512" hashValue="o7gDgzkHA1rLZOn8qczjBHMroen5siW3lg9+mojRk57OEEkccYMzTRNlViqJIEYwJelaQap49BZq1zoLxnsP1Q==" saltValue="fUg05hujinP03DJCVe7W3A==" spinCount="100000" sheet="1" objects="1" scenarios="1" selectLockedCells="1" selectUnlockedCells="1"/>
  <mergeCells count="4">
    <mergeCell ref="B5:J5"/>
    <mergeCell ref="D6:F6"/>
    <mergeCell ref="G6:H6"/>
    <mergeCell ref="D7:J7"/>
  </mergeCells>
  <pageMargins left="0.7" right="0.7" top="0.75" bottom="0.75" header="0.3" footer="0.3"/>
  <pageSetup paperSize="9"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76838-CF7C-D94C-B3C7-20792138F6D3}">
  <sheetPr codeName="Sheet10">
    <tabColor rgb="FF00B050"/>
  </sheetPr>
  <dimension ref="B1:G283"/>
  <sheetViews>
    <sheetView workbookViewId="0"/>
  </sheetViews>
  <sheetFormatPr baseColWidth="10" defaultColWidth="10.83203125" defaultRowHeight="15" x14ac:dyDescent="0.2"/>
  <cols>
    <col min="1" max="1" width="20.83203125" style="54" customWidth="1"/>
    <col min="2" max="2" width="24.5" style="54" customWidth="1"/>
    <col min="3" max="4" width="20.83203125" style="54" customWidth="1"/>
    <col min="5" max="5" width="26.83203125" style="54" customWidth="1"/>
    <col min="6" max="7" width="24.5" style="54" customWidth="1"/>
    <col min="8" max="20" width="20.83203125" style="54" customWidth="1"/>
    <col min="21" max="16384" width="10.83203125" style="54"/>
  </cols>
  <sheetData>
    <row r="1" spans="2:6" ht="24" customHeight="1" x14ac:dyDescent="0.2"/>
    <row r="2" spans="2:6" ht="30" customHeight="1" x14ac:dyDescent="0.2">
      <c r="B2" s="285" t="s">
        <v>60</v>
      </c>
      <c r="C2" s="102">
        <f>Formulary!$C$2</f>
        <v>3.5</v>
      </c>
    </row>
    <row r="3" spans="2:6" ht="30" customHeight="1" x14ac:dyDescent="0.2">
      <c r="B3" s="167" t="s">
        <v>307</v>
      </c>
      <c r="C3" s="102" t="str">
        <f>'Weight Estimations'!$G$36</f>
        <v>Neonate</v>
      </c>
      <c r="D3" s="102" t="s">
        <v>322</v>
      </c>
    </row>
    <row r="4" spans="2:6" ht="24" customHeight="1" x14ac:dyDescent="0.2"/>
    <row r="5" spans="2:6" ht="24" customHeight="1" x14ac:dyDescent="0.35">
      <c r="B5" s="287" t="s">
        <v>290</v>
      </c>
    </row>
    <row r="6" spans="2:6" ht="24" customHeight="1" x14ac:dyDescent="0.2"/>
    <row r="7" spans="2:6" ht="24" customHeight="1" x14ac:dyDescent="0.2">
      <c r="B7" s="286" t="s">
        <v>170</v>
      </c>
      <c r="C7" s="286" t="s">
        <v>188</v>
      </c>
      <c r="D7" s="286" t="s">
        <v>41</v>
      </c>
      <c r="E7" s="286" t="s">
        <v>298</v>
      </c>
      <c r="F7" s="286" t="s">
        <v>299</v>
      </c>
    </row>
    <row r="8" spans="2:6" ht="24" customHeight="1" x14ac:dyDescent="0.2">
      <c r="B8" s="271" t="s">
        <v>291</v>
      </c>
      <c r="C8" s="271" t="str">
        <f>IF($C$2&lt;=10,"Yes","No")</f>
        <v>Yes</v>
      </c>
      <c r="D8" s="271" t="s">
        <v>295</v>
      </c>
      <c r="E8" s="102">
        <f>$C$2*4</f>
        <v>14</v>
      </c>
      <c r="F8" s="102">
        <f>ROUND(($E$8*0.7),0)</f>
        <v>10</v>
      </c>
    </row>
    <row r="9" spans="2:6" ht="24" customHeight="1" x14ac:dyDescent="0.2">
      <c r="B9" s="271" t="s">
        <v>292</v>
      </c>
      <c r="C9" s="271" t="str">
        <f>IF(AND($C$2&gt;10,$C$2&lt;=20),"Yes","No")</f>
        <v>No</v>
      </c>
      <c r="D9" s="271" t="s">
        <v>296</v>
      </c>
      <c r="E9" s="102">
        <f>(2*$C$2)+20</f>
        <v>27</v>
      </c>
      <c r="F9" s="102">
        <f>ROUND(($E$9*0.7),0)</f>
        <v>19</v>
      </c>
    </row>
    <row r="10" spans="2:6" ht="24" customHeight="1" x14ac:dyDescent="0.2">
      <c r="B10" s="271" t="s">
        <v>293</v>
      </c>
      <c r="C10" s="271" t="str">
        <f>IF(AND($C$2&gt;20,$C$2&lt;=60),"Yes","No")</f>
        <v>No</v>
      </c>
      <c r="D10" s="271" t="s">
        <v>300</v>
      </c>
      <c r="E10" s="102">
        <f>$C$2+40</f>
        <v>43.5</v>
      </c>
      <c r="F10" s="102">
        <f>ROUND(($E$10*0.7),0)</f>
        <v>30</v>
      </c>
    </row>
    <row r="11" spans="2:6" ht="24" customHeight="1" x14ac:dyDescent="0.2">
      <c r="B11" s="271" t="s">
        <v>294</v>
      </c>
      <c r="C11" s="271" t="str">
        <f>IF(($C$2&gt;60),"Yes","No")</f>
        <v>No</v>
      </c>
      <c r="D11" s="271" t="s">
        <v>297</v>
      </c>
      <c r="E11" s="102">
        <v>100</v>
      </c>
      <c r="F11" s="102">
        <f>ROUND(($E$11*0.7),0)</f>
        <v>70</v>
      </c>
    </row>
    <row r="12" spans="2:6" ht="24" customHeight="1" x14ac:dyDescent="0.2"/>
    <row r="13" spans="2:6" ht="24" customHeight="1" x14ac:dyDescent="0.35">
      <c r="B13" s="287" t="s">
        <v>301</v>
      </c>
    </row>
    <row r="14" spans="2:6" ht="24" customHeight="1" x14ac:dyDescent="0.2"/>
    <row r="15" spans="2:6" ht="24" customHeight="1" x14ac:dyDescent="0.2">
      <c r="B15" s="6" t="s">
        <v>39</v>
      </c>
      <c r="C15" s="6" t="s">
        <v>24</v>
      </c>
      <c r="D15" s="6" t="s">
        <v>302</v>
      </c>
      <c r="E15" s="6" t="s">
        <v>303</v>
      </c>
      <c r="F15" s="6" t="s">
        <v>304</v>
      </c>
    </row>
    <row r="16" spans="2:6" ht="24" customHeight="1" x14ac:dyDescent="0.2">
      <c r="B16" s="289" t="s">
        <v>319</v>
      </c>
      <c r="C16" s="288" t="str">
        <f>"3.0"</f>
        <v>3.0</v>
      </c>
      <c r="D16" s="102" t="s">
        <v>308</v>
      </c>
      <c r="E16" s="4">
        <v>8.5</v>
      </c>
      <c r="F16" s="4">
        <v>10.5</v>
      </c>
    </row>
    <row r="17" spans="2:6" ht="24" customHeight="1" x14ac:dyDescent="0.2">
      <c r="B17" s="289" t="s">
        <v>305</v>
      </c>
      <c r="C17" s="288" t="str">
        <f>"3.5"</f>
        <v>3.5</v>
      </c>
      <c r="D17" s="102" t="s">
        <v>309</v>
      </c>
      <c r="E17" s="4">
        <v>9</v>
      </c>
      <c r="F17" s="4">
        <v>11</v>
      </c>
    </row>
    <row r="18" spans="2:6" ht="24" customHeight="1" x14ac:dyDescent="0.2">
      <c r="B18" s="289" t="s">
        <v>518</v>
      </c>
      <c r="C18" s="288">
        <v>3.5</v>
      </c>
      <c r="D18" s="102" t="s">
        <v>309</v>
      </c>
      <c r="E18" s="4">
        <v>9.5</v>
      </c>
      <c r="F18" s="4">
        <v>11.5</v>
      </c>
    </row>
    <row r="19" spans="2:6" ht="24" customHeight="1" x14ac:dyDescent="0.2">
      <c r="B19" s="289" t="s">
        <v>306</v>
      </c>
      <c r="C19" s="288" t="str">
        <f>"3.5"</f>
        <v>3.5</v>
      </c>
      <c r="D19" s="102" t="s">
        <v>309</v>
      </c>
      <c r="E19" s="4">
        <v>10</v>
      </c>
      <c r="F19" s="4">
        <v>12</v>
      </c>
    </row>
    <row r="20" spans="2:6" ht="24" customHeight="1" x14ac:dyDescent="0.2">
      <c r="B20" s="5">
        <v>1</v>
      </c>
      <c r="C20" s="288" t="str">
        <f>"4.0"</f>
        <v>4.0</v>
      </c>
      <c r="D20" s="102" t="s">
        <v>310</v>
      </c>
      <c r="E20" s="4">
        <v>11</v>
      </c>
      <c r="F20" s="4">
        <v>14</v>
      </c>
    </row>
    <row r="21" spans="2:6" ht="24" customHeight="1" x14ac:dyDescent="0.2">
      <c r="B21" s="5">
        <v>2</v>
      </c>
      <c r="C21" s="288" t="str">
        <f>"4.5"</f>
        <v>4.5</v>
      </c>
      <c r="D21" s="102" t="s">
        <v>311</v>
      </c>
      <c r="E21" s="4">
        <v>12</v>
      </c>
      <c r="F21" s="4">
        <v>15</v>
      </c>
    </row>
    <row r="22" spans="2:6" ht="24" customHeight="1" x14ac:dyDescent="0.2">
      <c r="B22" s="5">
        <v>3</v>
      </c>
      <c r="C22" s="288" t="str">
        <f>"4.5"</f>
        <v>4.5</v>
      </c>
      <c r="D22" s="102" t="s">
        <v>311</v>
      </c>
      <c r="E22" s="4">
        <v>13</v>
      </c>
      <c r="F22" s="4">
        <v>16</v>
      </c>
    </row>
    <row r="23" spans="2:6" ht="24" customHeight="1" x14ac:dyDescent="0.2">
      <c r="B23" s="5">
        <v>4</v>
      </c>
      <c r="C23" s="288" t="str">
        <f>"5.0"</f>
        <v>5.0</v>
      </c>
      <c r="D23" s="102" t="s">
        <v>312</v>
      </c>
      <c r="E23" s="4">
        <v>14</v>
      </c>
      <c r="F23" s="4">
        <v>17</v>
      </c>
    </row>
    <row r="24" spans="2:6" ht="24" customHeight="1" x14ac:dyDescent="0.2">
      <c r="B24" s="5">
        <v>5</v>
      </c>
      <c r="C24" s="288" t="str">
        <f>"5.0"</f>
        <v>5.0</v>
      </c>
      <c r="D24" s="102" t="s">
        <v>312</v>
      </c>
      <c r="E24" s="4">
        <v>15</v>
      </c>
      <c r="F24" s="4">
        <v>19</v>
      </c>
    </row>
    <row r="25" spans="2:6" ht="24" customHeight="1" x14ac:dyDescent="0.2">
      <c r="B25" s="5">
        <v>6</v>
      </c>
      <c r="C25" s="288" t="str">
        <f>"5.5"</f>
        <v>5.5</v>
      </c>
      <c r="D25" s="102" t="s">
        <v>313</v>
      </c>
      <c r="E25" s="4">
        <v>15</v>
      </c>
      <c r="F25" s="4">
        <v>19</v>
      </c>
    </row>
    <row r="26" spans="2:6" ht="24" customHeight="1" x14ac:dyDescent="0.2">
      <c r="B26" s="5">
        <v>7</v>
      </c>
      <c r="C26" s="288" t="str">
        <f>"5.5"</f>
        <v>5.5</v>
      </c>
      <c r="D26" s="102" t="s">
        <v>313</v>
      </c>
      <c r="E26" s="4">
        <v>16</v>
      </c>
      <c r="F26" s="4">
        <v>20</v>
      </c>
    </row>
    <row r="27" spans="2:6" ht="24" customHeight="1" x14ac:dyDescent="0.2">
      <c r="B27" s="5">
        <v>8</v>
      </c>
      <c r="C27" s="288" t="str">
        <f>"6.0"</f>
        <v>6.0</v>
      </c>
      <c r="D27" s="102" t="s">
        <v>314</v>
      </c>
      <c r="E27" s="4">
        <v>16</v>
      </c>
      <c r="F27" s="4">
        <v>20</v>
      </c>
    </row>
    <row r="28" spans="2:6" ht="24" customHeight="1" x14ac:dyDescent="0.2">
      <c r="B28" s="5">
        <v>9</v>
      </c>
      <c r="C28" s="288" t="str">
        <f>"6.0"</f>
        <v>6.0</v>
      </c>
      <c r="D28" s="102" t="s">
        <v>314</v>
      </c>
      <c r="E28" s="4">
        <v>16.5</v>
      </c>
      <c r="F28" s="4" t="s">
        <v>318</v>
      </c>
    </row>
    <row r="29" spans="2:6" ht="24" customHeight="1" x14ac:dyDescent="0.2">
      <c r="B29" s="5">
        <v>10</v>
      </c>
      <c r="C29" s="288" t="str">
        <f>"6.5"</f>
        <v>6.5</v>
      </c>
      <c r="D29" s="102" t="s">
        <v>315</v>
      </c>
      <c r="E29" s="4">
        <v>17</v>
      </c>
      <c r="F29" s="4" t="s">
        <v>318</v>
      </c>
    </row>
    <row r="30" spans="2:6" ht="24" customHeight="1" x14ac:dyDescent="0.2">
      <c r="B30" s="5">
        <v>11</v>
      </c>
      <c r="C30" s="288" t="str">
        <f>"6.5"</f>
        <v>6.5</v>
      </c>
      <c r="D30" s="102" t="s">
        <v>315</v>
      </c>
      <c r="E30" s="4">
        <v>17.5</v>
      </c>
      <c r="F30" s="4" t="s">
        <v>318</v>
      </c>
    </row>
    <row r="31" spans="2:6" ht="24" customHeight="1" x14ac:dyDescent="0.2">
      <c r="B31" s="5">
        <v>12</v>
      </c>
      <c r="C31" s="288" t="str">
        <f>"7.0"</f>
        <v>7.0</v>
      </c>
      <c r="D31" s="102" t="s">
        <v>316</v>
      </c>
      <c r="E31" s="4">
        <v>18</v>
      </c>
      <c r="F31" s="4" t="s">
        <v>318</v>
      </c>
    </row>
    <row r="32" spans="2:6" ht="24" customHeight="1" x14ac:dyDescent="0.2">
      <c r="B32" s="5">
        <v>13</v>
      </c>
      <c r="C32" s="288" t="str">
        <f>"7.0"</f>
        <v>7.0</v>
      </c>
      <c r="D32" s="102" t="s">
        <v>316</v>
      </c>
      <c r="E32" s="4">
        <v>18.5</v>
      </c>
      <c r="F32" s="4" t="s">
        <v>318</v>
      </c>
    </row>
    <row r="33" spans="2:7" ht="24" customHeight="1" x14ac:dyDescent="0.2">
      <c r="B33" s="5">
        <v>14</v>
      </c>
      <c r="C33" s="288" t="str">
        <f>"7.5"</f>
        <v>7.5</v>
      </c>
      <c r="D33" s="102" t="s">
        <v>317</v>
      </c>
      <c r="E33" s="4">
        <v>19</v>
      </c>
      <c r="F33" s="4" t="s">
        <v>318</v>
      </c>
    </row>
    <row r="34" spans="2:7" ht="24" customHeight="1" x14ac:dyDescent="0.2">
      <c r="B34" s="5">
        <v>15</v>
      </c>
      <c r="C34" s="288" t="str">
        <f>"7.5"</f>
        <v>7.5</v>
      </c>
      <c r="D34" s="102" t="s">
        <v>317</v>
      </c>
      <c r="E34" s="4">
        <v>19.5</v>
      </c>
      <c r="F34" s="4" t="s">
        <v>318</v>
      </c>
    </row>
    <row r="35" spans="2:7" ht="24" customHeight="1" x14ac:dyDescent="0.2"/>
    <row r="36" spans="2:7" ht="24" customHeight="1" x14ac:dyDescent="0.2">
      <c r="B36" s="272" t="str">
        <f>IF(OR($C$3="Prem",$C$3="Neonate"),$C$3,IF($C$3&gt;=0.8,MROUND($C$3,1),IF($C$3&gt;=0.5,"6 months",IF(C3&gt;=0.3,"3 months","Neonate"))))</f>
        <v>Neonate</v>
      </c>
      <c r="C36" s="102" t="str">
        <f>VLOOKUP($B$36,ETTTable,2,FALSE)&amp;" mm"</f>
        <v>3.5 mm</v>
      </c>
      <c r="D36" s="102" t="str">
        <f>"("&amp;VLOOKUP($B$36,ETTTable,3,FALSE)&amp;")"</f>
        <v>(3.0 - 4.0)</v>
      </c>
      <c r="E36" s="102" t="str">
        <f>"ORAL: "&amp;VLOOKUP($B$36,ETTTable,4,FALSE)&amp;" cm @ lips"</f>
        <v>ORAL: 9 cm @ lips</v>
      </c>
      <c r="F36" s="102" t="str">
        <f>IF(AND(ISTEXT(B36)=FALSE,B36&gt;=9),"NASAL: Do not use","NASAL: "&amp;VLOOKUP($B$36,ETTTable,5,FALSE)&amp;" cm @ nose")</f>
        <v>NASAL: 11 cm @ nose</v>
      </c>
    </row>
    <row r="37" spans="2:7" ht="24" customHeight="1" x14ac:dyDescent="0.2"/>
    <row r="38" spans="2:7" ht="24" customHeight="1" x14ac:dyDescent="0.35">
      <c r="B38" s="287" t="s">
        <v>354</v>
      </c>
    </row>
    <row r="39" spans="2:7" ht="24" customHeight="1" x14ac:dyDescent="0.2"/>
    <row r="40" spans="2:7" ht="24" customHeight="1" x14ac:dyDescent="0.2">
      <c r="B40" s="282"/>
      <c r="C40" s="282" t="s">
        <v>170</v>
      </c>
      <c r="D40" s="282" t="s">
        <v>188</v>
      </c>
      <c r="E40" s="282" t="s">
        <v>353</v>
      </c>
      <c r="F40" s="282" t="s">
        <v>362</v>
      </c>
      <c r="G40" s="474" t="s">
        <v>700</v>
      </c>
    </row>
    <row r="41" spans="2:7" ht="24" customHeight="1" x14ac:dyDescent="0.2">
      <c r="B41" s="294" t="s">
        <v>352</v>
      </c>
      <c r="C41" s="292"/>
      <c r="D41" s="205"/>
      <c r="E41" s="205"/>
      <c r="F41" s="205"/>
      <c r="G41" s="205"/>
    </row>
    <row r="42" spans="2:7" ht="24" customHeight="1" x14ac:dyDescent="0.2">
      <c r="B42" s="102"/>
      <c r="C42" s="290" t="s">
        <v>355</v>
      </c>
      <c r="D42" s="102" t="str">
        <f>IF(C2&lt;5,"Yes","No")</f>
        <v>Yes</v>
      </c>
      <c r="E42" s="102">
        <v>1</v>
      </c>
      <c r="F42" s="102">
        <v>4</v>
      </c>
      <c r="G42" s="102"/>
    </row>
    <row r="43" spans="2:7" ht="24" customHeight="1" x14ac:dyDescent="0.2">
      <c r="B43" s="102"/>
      <c r="C43" s="290" t="s">
        <v>356</v>
      </c>
      <c r="D43" s="102" t="str">
        <f>IF(AND(C2&lt;10,C2&gt;=5),"Yes","No")</f>
        <v>No</v>
      </c>
      <c r="E43" s="102">
        <v>1.5</v>
      </c>
      <c r="F43" s="102">
        <v>7</v>
      </c>
      <c r="G43" s="102"/>
    </row>
    <row r="44" spans="2:7" ht="24" customHeight="1" x14ac:dyDescent="0.2">
      <c r="B44" s="102"/>
      <c r="C44" s="290" t="s">
        <v>357</v>
      </c>
      <c r="D44" s="102" t="str">
        <f>IF(AND(C2&lt;20,C2&gt;=10),"Yes","No")</f>
        <v>No</v>
      </c>
      <c r="E44" s="102">
        <v>2</v>
      </c>
      <c r="F44" s="102">
        <v>10</v>
      </c>
      <c r="G44" s="102"/>
    </row>
    <row r="45" spans="2:7" ht="24" customHeight="1" x14ac:dyDescent="0.2">
      <c r="B45" s="102"/>
      <c r="C45" s="290" t="s">
        <v>358</v>
      </c>
      <c r="D45" s="102" t="str">
        <f>IF(AND(C2&lt;30,C2&gt;=20),"Yes","No")</f>
        <v>No</v>
      </c>
      <c r="E45" s="102">
        <v>2.5</v>
      </c>
      <c r="F45" s="102">
        <v>14</v>
      </c>
      <c r="G45" s="102"/>
    </row>
    <row r="46" spans="2:7" ht="24" customHeight="1" x14ac:dyDescent="0.2">
      <c r="B46" s="102"/>
      <c r="C46" s="290" t="s">
        <v>359</v>
      </c>
      <c r="D46" s="102" t="str">
        <f>IF(AND(C2&lt;50,C2&gt;=30),"Yes","No")</f>
        <v>No</v>
      </c>
      <c r="E46" s="102">
        <v>3</v>
      </c>
      <c r="F46" s="102">
        <v>20</v>
      </c>
      <c r="G46" s="102"/>
    </row>
    <row r="47" spans="2:7" ht="24" customHeight="1" x14ac:dyDescent="0.2">
      <c r="B47" s="102"/>
      <c r="C47" s="290" t="s">
        <v>360</v>
      </c>
      <c r="D47" s="102" t="str">
        <f>IF(AND(C2&lt;70,C2&gt;=50),"Yes","No")</f>
        <v>No</v>
      </c>
      <c r="E47" s="102">
        <v>4</v>
      </c>
      <c r="F47" s="102">
        <v>30</v>
      </c>
      <c r="G47" s="102"/>
    </row>
    <row r="48" spans="2:7" ht="24" customHeight="1" x14ac:dyDescent="0.2">
      <c r="B48" s="102"/>
      <c r="C48" s="290" t="s">
        <v>361</v>
      </c>
      <c r="D48" s="102" t="str">
        <f>IF(C2&gt;=70,"Yes","No")</f>
        <v>No</v>
      </c>
      <c r="E48" s="102">
        <v>5</v>
      </c>
      <c r="F48" s="102">
        <v>40</v>
      </c>
      <c r="G48" s="102"/>
    </row>
    <row r="49" spans="2:7" ht="24" customHeight="1" x14ac:dyDescent="0.2">
      <c r="B49" s="294" t="s">
        <v>363</v>
      </c>
      <c r="C49" s="293"/>
      <c r="D49" s="291"/>
      <c r="E49" s="291"/>
      <c r="F49" s="291"/>
      <c r="G49" s="205"/>
    </row>
    <row r="50" spans="2:7" ht="24" customHeight="1" x14ac:dyDescent="0.2">
      <c r="B50" s="102"/>
      <c r="C50" s="290" t="s">
        <v>365</v>
      </c>
      <c r="D50" s="102" t="str">
        <f>IF(C2&lt;7,"Yes","No")</f>
        <v>Yes</v>
      </c>
      <c r="E50" s="102">
        <v>1</v>
      </c>
      <c r="F50" s="102"/>
      <c r="G50" s="102"/>
    </row>
    <row r="51" spans="2:7" ht="24" customHeight="1" x14ac:dyDescent="0.2">
      <c r="B51" s="102"/>
      <c r="C51" s="290" t="s">
        <v>367</v>
      </c>
      <c r="D51" s="102" t="str">
        <f>IF(AND(C2&lt;17,C2&gt;=7),"Yes","No")</f>
        <v>No</v>
      </c>
      <c r="E51" s="102">
        <v>1.5</v>
      </c>
      <c r="F51" s="102"/>
      <c r="G51" s="102"/>
    </row>
    <row r="52" spans="2:7" ht="24" customHeight="1" x14ac:dyDescent="0.2">
      <c r="B52" s="102"/>
      <c r="C52" s="290" t="s">
        <v>368</v>
      </c>
      <c r="D52" s="102" t="str">
        <f>IF(AND(C2&lt;30,C2&gt;=17),"Yes","No")</f>
        <v>No</v>
      </c>
      <c r="E52" s="102">
        <v>2</v>
      </c>
      <c r="F52" s="102"/>
      <c r="G52" s="102"/>
    </row>
    <row r="53" spans="2:7" ht="24" customHeight="1" x14ac:dyDescent="0.2">
      <c r="B53" s="102"/>
      <c r="C53" s="290" t="s">
        <v>369</v>
      </c>
      <c r="D53" s="102" t="str">
        <f>IF(AND(C2&lt;50,C2&gt;=30),"Yes","No")</f>
        <v>No</v>
      </c>
      <c r="E53" s="102">
        <v>2.5</v>
      </c>
      <c r="F53" s="102"/>
      <c r="G53" s="102"/>
    </row>
    <row r="54" spans="2:7" ht="24" customHeight="1" x14ac:dyDescent="0.2">
      <c r="B54" s="102"/>
      <c r="C54" s="290" t="s">
        <v>366</v>
      </c>
      <c r="D54" s="102" t="str">
        <f>IF(AND(C2&lt;70,C2&gt;=50),"Yes","No")</f>
        <v>No</v>
      </c>
      <c r="E54" s="102">
        <v>3.5</v>
      </c>
      <c r="F54" s="102"/>
      <c r="G54" s="102"/>
    </row>
    <row r="55" spans="2:7" ht="24" customHeight="1" x14ac:dyDescent="0.2">
      <c r="B55" s="102"/>
      <c r="C55" s="290" t="s">
        <v>364</v>
      </c>
      <c r="D55" s="102" t="str">
        <f>IF(C2&gt;=70,"Yes","No")</f>
        <v>No</v>
      </c>
      <c r="E55" s="102">
        <v>4.5</v>
      </c>
      <c r="F55" s="102"/>
      <c r="G55" s="102"/>
    </row>
    <row r="56" spans="2:7" ht="24" customHeight="1" x14ac:dyDescent="0.2">
      <c r="B56" s="294" t="s">
        <v>370</v>
      </c>
      <c r="C56" s="292"/>
      <c r="D56" s="205"/>
      <c r="E56" s="205"/>
      <c r="F56" s="205"/>
      <c r="G56" s="205"/>
    </row>
    <row r="57" spans="2:7" ht="24" customHeight="1" x14ac:dyDescent="0.2">
      <c r="B57" s="102"/>
      <c r="C57" s="290" t="s">
        <v>376</v>
      </c>
      <c r="D57" s="102" t="str">
        <f>IF(C2&lt;2,"Yes","No")</f>
        <v>No</v>
      </c>
      <c r="E57" s="102" t="s">
        <v>685</v>
      </c>
      <c r="F57" s="102" t="s">
        <v>693</v>
      </c>
      <c r="G57" s="102" t="s">
        <v>708</v>
      </c>
    </row>
    <row r="58" spans="2:7" ht="24" customHeight="1" x14ac:dyDescent="0.2">
      <c r="B58" s="102"/>
      <c r="C58" s="290" t="s">
        <v>371</v>
      </c>
      <c r="D58" s="102" t="str">
        <f>IF(AND(C2&lt;4,C2&gt;=2),"Yes","No")</f>
        <v>Yes</v>
      </c>
      <c r="E58" s="102" t="s">
        <v>686</v>
      </c>
      <c r="F58" s="102" t="s">
        <v>693</v>
      </c>
      <c r="G58" s="102" t="s">
        <v>701</v>
      </c>
    </row>
    <row r="59" spans="2:7" ht="24" customHeight="1" x14ac:dyDescent="0.2">
      <c r="B59" s="102"/>
      <c r="C59" s="290" t="s">
        <v>372</v>
      </c>
      <c r="D59" s="102" t="str">
        <f>IF(AND(C2&lt;7,C2&gt;=4),"Yes","No")</f>
        <v>No</v>
      </c>
      <c r="E59" s="102" t="s">
        <v>687</v>
      </c>
      <c r="F59" s="102" t="s">
        <v>694</v>
      </c>
      <c r="G59" s="102" t="s">
        <v>702</v>
      </c>
    </row>
    <row r="60" spans="2:7" ht="24" customHeight="1" x14ac:dyDescent="0.2">
      <c r="B60" s="102"/>
      <c r="C60" s="290" t="s">
        <v>367</v>
      </c>
      <c r="D60" s="102" t="str">
        <f>IF(AND(C2&lt;17,C2&gt;=7),"Yes","No")</f>
        <v>No</v>
      </c>
      <c r="E60" s="102" t="s">
        <v>688</v>
      </c>
      <c r="F60" s="102" t="s">
        <v>695</v>
      </c>
      <c r="G60" s="102" t="s">
        <v>707</v>
      </c>
    </row>
    <row r="61" spans="2:7" ht="24" customHeight="1" x14ac:dyDescent="0.2">
      <c r="B61" s="102"/>
      <c r="C61" s="290" t="s">
        <v>368</v>
      </c>
      <c r="D61" s="102" t="str">
        <f>IF(AND(C2&lt;30,C2&gt;=17),"Yes","No")</f>
        <v>No</v>
      </c>
      <c r="E61" s="102" t="s">
        <v>689</v>
      </c>
      <c r="F61" s="102" t="s">
        <v>696</v>
      </c>
      <c r="G61" s="102" t="s">
        <v>703</v>
      </c>
    </row>
    <row r="62" spans="2:7" ht="24" customHeight="1" x14ac:dyDescent="0.2">
      <c r="B62" s="102"/>
      <c r="C62" s="290" t="s">
        <v>373</v>
      </c>
      <c r="D62" s="102" t="str">
        <f>IF(AND(C2&lt;60,C2&gt;=30),"Yes","No")</f>
        <v>No</v>
      </c>
      <c r="E62" s="102" t="s">
        <v>690</v>
      </c>
      <c r="F62" s="102" t="s">
        <v>697</v>
      </c>
      <c r="G62" s="102" t="s">
        <v>704</v>
      </c>
    </row>
    <row r="63" spans="2:7" ht="24" customHeight="1" x14ac:dyDescent="0.2">
      <c r="B63" s="102"/>
      <c r="C63" s="290" t="s">
        <v>374</v>
      </c>
      <c r="D63" s="102" t="str">
        <f>IF(AND(C2&lt;80,C2&gt;=60),"Yes","No")</f>
        <v>No</v>
      </c>
      <c r="E63" s="102" t="s">
        <v>691</v>
      </c>
      <c r="F63" s="102" t="s">
        <v>698</v>
      </c>
      <c r="G63" s="102" t="s">
        <v>705</v>
      </c>
    </row>
    <row r="64" spans="2:7" ht="24" customHeight="1" x14ac:dyDescent="0.2">
      <c r="B64" s="102"/>
      <c r="C64" s="290" t="s">
        <v>375</v>
      </c>
      <c r="D64" s="102" t="str">
        <f>IF(C2&gt;=80,"Yes","No")</f>
        <v>No</v>
      </c>
      <c r="E64" s="102" t="s">
        <v>692</v>
      </c>
      <c r="F64" s="102" t="s">
        <v>699</v>
      </c>
      <c r="G64" s="102" t="s">
        <v>706</v>
      </c>
    </row>
    <row r="65" spans="2:7" ht="24" customHeight="1" x14ac:dyDescent="0.2">
      <c r="B65" s="294" t="s">
        <v>377</v>
      </c>
      <c r="C65" s="292"/>
      <c r="D65" s="205"/>
      <c r="E65" s="205"/>
      <c r="F65" s="205"/>
      <c r="G65" s="205"/>
    </row>
    <row r="66" spans="2:7" ht="24" customHeight="1" x14ac:dyDescent="0.2">
      <c r="B66" s="102"/>
      <c r="C66" s="290" t="s">
        <v>378</v>
      </c>
      <c r="D66" s="102" t="str">
        <f>IF(C2&lt;5,"Yes","No")</f>
        <v>Yes</v>
      </c>
      <c r="E66" s="102">
        <v>1</v>
      </c>
      <c r="F66" s="102"/>
      <c r="G66" s="102"/>
    </row>
    <row r="67" spans="2:7" ht="24" customHeight="1" x14ac:dyDescent="0.2">
      <c r="B67" s="102"/>
      <c r="C67" s="290" t="s">
        <v>356</v>
      </c>
      <c r="D67" s="102" t="str">
        <f>IF(AND(C2&lt;10,C2&gt;=5),"Yes","No")</f>
        <v>No</v>
      </c>
      <c r="E67" s="102">
        <v>1.5</v>
      </c>
      <c r="F67" s="102"/>
      <c r="G67" s="102"/>
    </row>
    <row r="68" spans="2:7" ht="24" customHeight="1" x14ac:dyDescent="0.2">
      <c r="B68" s="102"/>
      <c r="C68" s="290" t="s">
        <v>536</v>
      </c>
      <c r="D68" s="102" t="str">
        <f>IF(AND(C2&lt;12,C2&gt;=10),"Yes","No")</f>
        <v>No</v>
      </c>
      <c r="E68" s="102" t="s">
        <v>543</v>
      </c>
      <c r="F68" s="102"/>
      <c r="G68" s="102"/>
    </row>
    <row r="69" spans="2:7" ht="24" customHeight="1" x14ac:dyDescent="0.2">
      <c r="B69" s="102"/>
      <c r="C69" s="290" t="s">
        <v>537</v>
      </c>
      <c r="D69" s="102" t="str">
        <f>IF(AND(C2&lt;25,C2&gt;=12),"Yes","No")</f>
        <v>No</v>
      </c>
      <c r="E69" s="102">
        <v>2</v>
      </c>
      <c r="F69" s="102"/>
      <c r="G69" s="102"/>
    </row>
    <row r="70" spans="2:7" ht="24" customHeight="1" x14ac:dyDescent="0.2">
      <c r="B70" s="102"/>
      <c r="C70" s="290" t="s">
        <v>538</v>
      </c>
      <c r="D70" s="102" t="str">
        <f>IF(AND(C2&lt;30,C2&gt;=25),"Yes","No")</f>
        <v>No</v>
      </c>
      <c r="E70" s="102">
        <v>2.5</v>
      </c>
      <c r="F70" s="102"/>
      <c r="G70" s="102"/>
    </row>
    <row r="71" spans="2:7" ht="24" customHeight="1" x14ac:dyDescent="0.2">
      <c r="B71" s="102"/>
      <c r="C71" s="290" t="s">
        <v>539</v>
      </c>
      <c r="D71" s="102" t="str">
        <f>IF(AND(C2&lt;35,C2&gt;=30),"Yes","No")</f>
        <v>No</v>
      </c>
      <c r="E71" s="102" t="s">
        <v>544</v>
      </c>
      <c r="F71" s="102"/>
      <c r="G71" s="102"/>
    </row>
    <row r="72" spans="2:7" ht="24" customHeight="1" x14ac:dyDescent="0.2">
      <c r="B72" s="102"/>
      <c r="C72" s="290" t="s">
        <v>540</v>
      </c>
      <c r="D72" s="102" t="str">
        <f>IF(AND(C2&lt;50,C2&gt;=35),"Yes","No")</f>
        <v>No</v>
      </c>
      <c r="E72" s="102">
        <v>3</v>
      </c>
      <c r="F72" s="102"/>
      <c r="G72" s="102"/>
    </row>
    <row r="73" spans="2:7" ht="24" customHeight="1" x14ac:dyDescent="0.2">
      <c r="B73" s="5"/>
      <c r="C73" s="102" t="s">
        <v>541</v>
      </c>
      <c r="D73" s="102" t="str">
        <f>IF(AND(C2&lt;60,C2&gt;=50), "Yes","No")</f>
        <v>No</v>
      </c>
      <c r="E73" s="102" t="s">
        <v>545</v>
      </c>
      <c r="F73" s="5"/>
      <c r="G73" s="102"/>
    </row>
    <row r="74" spans="2:7" ht="24" customHeight="1" x14ac:dyDescent="0.2">
      <c r="B74" s="5"/>
      <c r="C74" s="102" t="s">
        <v>379</v>
      </c>
      <c r="D74" s="102" t="str">
        <f>IF(AND(C2&lt;90,C2&gt;=60),"Yes","No")</f>
        <v>No</v>
      </c>
      <c r="E74" s="102">
        <v>4</v>
      </c>
      <c r="F74" s="5"/>
      <c r="G74" s="102"/>
    </row>
    <row r="75" spans="2:7" ht="24" customHeight="1" x14ac:dyDescent="0.35">
      <c r="B75" s="437"/>
      <c r="C75" s="102" t="s">
        <v>542</v>
      </c>
      <c r="D75" s="102" t="str">
        <f>IF(C2&gt;=90,"Yes","No")</f>
        <v>No</v>
      </c>
      <c r="E75" s="102">
        <v>5</v>
      </c>
      <c r="F75" s="5"/>
      <c r="G75" s="102"/>
    </row>
    <row r="76" spans="2:7" ht="24" customHeight="1" x14ac:dyDescent="0.35">
      <c r="B76" s="287"/>
    </row>
    <row r="77" spans="2:7" ht="48" customHeight="1" x14ac:dyDescent="0.35">
      <c r="B77" s="287" t="s">
        <v>393</v>
      </c>
    </row>
    <row r="78" spans="2:7" ht="24" customHeight="1" x14ac:dyDescent="0.2">
      <c r="B78" s="166" t="s">
        <v>394</v>
      </c>
      <c r="D78" s="166" t="s">
        <v>395</v>
      </c>
      <c r="E78" s="166"/>
    </row>
    <row r="79" spans="2:7" ht="24" customHeight="1" x14ac:dyDescent="0.2">
      <c r="B79" s="297" t="s">
        <v>398</v>
      </c>
      <c r="C79" s="102">
        <f>IF($C$2&lt;=10,MROUND($C$2,0.5),MROUND($C$2,1))</f>
        <v>3.5</v>
      </c>
    </row>
    <row r="80" spans="2:7" ht="24" customHeight="1" x14ac:dyDescent="0.2">
      <c r="B80" s="424"/>
      <c r="C80" s="424"/>
    </row>
    <row r="81" spans="2:3" ht="24" customHeight="1" x14ac:dyDescent="0.2"/>
    <row r="82" spans="2:3" ht="24" customHeight="1" x14ac:dyDescent="0.2">
      <c r="B82" s="296" t="s">
        <v>396</v>
      </c>
      <c r="C82" s="296" t="s">
        <v>397</v>
      </c>
    </row>
    <row r="83" spans="2:3" ht="24" customHeight="1" x14ac:dyDescent="0.2">
      <c r="B83" s="102">
        <v>2</v>
      </c>
      <c r="C83" s="298">
        <v>0.16</v>
      </c>
    </row>
    <row r="84" spans="2:3" ht="24" customHeight="1" x14ac:dyDescent="0.2">
      <c r="B84" s="102">
        <v>2.5</v>
      </c>
      <c r="C84" s="298">
        <v>0.19</v>
      </c>
    </row>
    <row r="85" spans="2:3" ht="24" customHeight="1" x14ac:dyDescent="0.2">
      <c r="B85" s="102">
        <v>3</v>
      </c>
      <c r="C85" s="298">
        <v>0.21</v>
      </c>
    </row>
    <row r="86" spans="2:3" ht="24" customHeight="1" x14ac:dyDescent="0.2">
      <c r="B86" s="102">
        <v>3.5</v>
      </c>
      <c r="C86" s="298">
        <v>0.24</v>
      </c>
    </row>
    <row r="87" spans="2:3" ht="24" customHeight="1" x14ac:dyDescent="0.2">
      <c r="B87" s="102">
        <v>4</v>
      </c>
      <c r="C87" s="298">
        <v>0.26</v>
      </c>
    </row>
    <row r="88" spans="2:3" ht="24" customHeight="1" x14ac:dyDescent="0.2">
      <c r="B88" s="102">
        <v>4.5</v>
      </c>
      <c r="C88" s="298">
        <v>0.28000000000000003</v>
      </c>
    </row>
    <row r="89" spans="2:3" ht="24" customHeight="1" x14ac:dyDescent="0.2">
      <c r="B89" s="102">
        <v>5</v>
      </c>
      <c r="C89" s="298">
        <v>0.3</v>
      </c>
    </row>
    <row r="90" spans="2:3" ht="24" customHeight="1" x14ac:dyDescent="0.2">
      <c r="B90" s="102">
        <v>5.5</v>
      </c>
      <c r="C90" s="298">
        <v>0.32</v>
      </c>
    </row>
    <row r="91" spans="2:3" ht="24" customHeight="1" x14ac:dyDescent="0.2">
      <c r="B91" s="102">
        <v>6</v>
      </c>
      <c r="C91" s="298">
        <v>0.34</v>
      </c>
    </row>
    <row r="92" spans="2:3" ht="24" customHeight="1" x14ac:dyDescent="0.2">
      <c r="B92" s="102">
        <v>6.5</v>
      </c>
      <c r="C92" s="298">
        <v>0.36</v>
      </c>
    </row>
    <row r="93" spans="2:3" ht="24" customHeight="1" x14ac:dyDescent="0.2">
      <c r="B93" s="102">
        <v>7</v>
      </c>
      <c r="C93" s="298">
        <v>0.38</v>
      </c>
    </row>
    <row r="94" spans="2:3" ht="24" customHeight="1" x14ac:dyDescent="0.2">
      <c r="B94" s="102">
        <v>7.5</v>
      </c>
      <c r="C94" s="298">
        <v>0.4</v>
      </c>
    </row>
    <row r="95" spans="2:3" ht="24" customHeight="1" x14ac:dyDescent="0.2">
      <c r="B95" s="102">
        <v>8</v>
      </c>
      <c r="C95" s="298">
        <v>0.42</v>
      </c>
    </row>
    <row r="96" spans="2:3" ht="24" customHeight="1" x14ac:dyDescent="0.2">
      <c r="B96" s="102">
        <v>8.5</v>
      </c>
      <c r="C96" s="298">
        <v>0.44</v>
      </c>
    </row>
    <row r="97" spans="2:3" ht="24" customHeight="1" x14ac:dyDescent="0.2">
      <c r="B97" s="102">
        <v>9</v>
      </c>
      <c r="C97" s="298">
        <v>0.46</v>
      </c>
    </row>
    <row r="98" spans="2:3" ht="24" customHeight="1" x14ac:dyDescent="0.2">
      <c r="B98" s="102">
        <v>9.5</v>
      </c>
      <c r="C98" s="298">
        <v>0.47</v>
      </c>
    </row>
    <row r="99" spans="2:3" ht="24" customHeight="1" x14ac:dyDescent="0.2">
      <c r="B99" s="102">
        <v>10</v>
      </c>
      <c r="C99" s="298">
        <v>0.49</v>
      </c>
    </row>
    <row r="100" spans="2:3" ht="24" customHeight="1" x14ac:dyDescent="0.2">
      <c r="B100" s="102">
        <v>11</v>
      </c>
      <c r="C100" s="298">
        <v>0.53</v>
      </c>
    </row>
    <row r="101" spans="2:3" ht="24" customHeight="1" x14ac:dyDescent="0.2">
      <c r="B101" s="102">
        <v>12</v>
      </c>
      <c r="C101" s="298">
        <v>0.56000000000000005</v>
      </c>
    </row>
    <row r="102" spans="2:3" ht="24" customHeight="1" x14ac:dyDescent="0.2">
      <c r="B102" s="102">
        <v>13</v>
      </c>
      <c r="C102" s="298">
        <v>0.59</v>
      </c>
    </row>
    <row r="103" spans="2:3" ht="24" customHeight="1" x14ac:dyDescent="0.2">
      <c r="B103" s="102">
        <v>14</v>
      </c>
      <c r="C103" s="298">
        <v>0.62</v>
      </c>
    </row>
    <row r="104" spans="2:3" ht="24" customHeight="1" x14ac:dyDescent="0.2">
      <c r="B104" s="102">
        <v>15</v>
      </c>
      <c r="C104" s="298">
        <v>0.65</v>
      </c>
    </row>
    <row r="105" spans="2:3" ht="24" customHeight="1" x14ac:dyDescent="0.2">
      <c r="B105" s="102">
        <v>16</v>
      </c>
      <c r="C105" s="298">
        <v>0.68</v>
      </c>
    </row>
    <row r="106" spans="2:3" ht="24" customHeight="1" x14ac:dyDescent="0.2">
      <c r="B106" s="102">
        <v>17</v>
      </c>
      <c r="C106" s="298">
        <v>0.71</v>
      </c>
    </row>
    <row r="107" spans="2:3" ht="24" customHeight="1" x14ac:dyDescent="0.2">
      <c r="B107" s="102">
        <v>18</v>
      </c>
      <c r="C107" s="298">
        <v>0.74</v>
      </c>
    </row>
    <row r="108" spans="2:3" ht="24" customHeight="1" x14ac:dyDescent="0.2">
      <c r="B108" s="102">
        <v>19</v>
      </c>
      <c r="C108" s="298">
        <v>0.77</v>
      </c>
    </row>
    <row r="109" spans="2:3" ht="24" customHeight="1" x14ac:dyDescent="0.2">
      <c r="B109" s="102">
        <v>20</v>
      </c>
      <c r="C109" s="298">
        <v>0.79</v>
      </c>
    </row>
    <row r="110" spans="2:3" ht="24" customHeight="1" x14ac:dyDescent="0.2">
      <c r="B110" s="102">
        <v>21</v>
      </c>
      <c r="C110" s="298">
        <v>0.82</v>
      </c>
    </row>
    <row r="111" spans="2:3" ht="24" customHeight="1" x14ac:dyDescent="0.2">
      <c r="B111" s="102">
        <v>22</v>
      </c>
      <c r="C111" s="298">
        <v>0.85</v>
      </c>
    </row>
    <row r="112" spans="2:3" ht="24" customHeight="1" x14ac:dyDescent="0.2">
      <c r="B112" s="102">
        <v>23</v>
      </c>
      <c r="C112" s="298">
        <v>0.87</v>
      </c>
    </row>
    <row r="113" spans="2:3" ht="24" customHeight="1" x14ac:dyDescent="0.2">
      <c r="B113" s="102">
        <v>24</v>
      </c>
      <c r="C113" s="298">
        <v>0.9</v>
      </c>
    </row>
    <row r="114" spans="2:3" ht="24" customHeight="1" x14ac:dyDescent="0.2">
      <c r="B114" s="102">
        <v>25</v>
      </c>
      <c r="C114" s="298">
        <v>0.92</v>
      </c>
    </row>
    <row r="115" spans="2:3" ht="24" customHeight="1" x14ac:dyDescent="0.2">
      <c r="B115" s="102">
        <v>26</v>
      </c>
      <c r="C115" s="298">
        <v>0.95</v>
      </c>
    </row>
    <row r="116" spans="2:3" ht="24" customHeight="1" x14ac:dyDescent="0.2">
      <c r="B116" s="102">
        <v>27</v>
      </c>
      <c r="C116" s="298">
        <v>0.97</v>
      </c>
    </row>
    <row r="117" spans="2:3" ht="24" customHeight="1" x14ac:dyDescent="0.2">
      <c r="B117" s="102">
        <v>28</v>
      </c>
      <c r="C117" s="270">
        <v>1</v>
      </c>
    </row>
    <row r="118" spans="2:3" ht="24" customHeight="1" x14ac:dyDescent="0.2">
      <c r="B118" s="102">
        <v>29</v>
      </c>
      <c r="C118" s="270">
        <v>1</v>
      </c>
    </row>
    <row r="119" spans="2:3" ht="24" customHeight="1" x14ac:dyDescent="0.2">
      <c r="B119" s="102">
        <v>30</v>
      </c>
      <c r="C119" s="270">
        <v>1.1000000000000001</v>
      </c>
    </row>
    <row r="120" spans="2:3" ht="24" customHeight="1" x14ac:dyDescent="0.2">
      <c r="B120" s="102">
        <v>31</v>
      </c>
      <c r="C120" s="270">
        <v>1.1000000000000001</v>
      </c>
    </row>
    <row r="121" spans="2:3" ht="24" customHeight="1" x14ac:dyDescent="0.2">
      <c r="B121" s="102">
        <v>32</v>
      </c>
      <c r="C121" s="270">
        <v>1.1000000000000001</v>
      </c>
    </row>
    <row r="122" spans="2:3" ht="24" customHeight="1" x14ac:dyDescent="0.2">
      <c r="B122" s="102">
        <v>33</v>
      </c>
      <c r="C122" s="270">
        <v>1.1000000000000001</v>
      </c>
    </row>
    <row r="123" spans="2:3" ht="24" customHeight="1" x14ac:dyDescent="0.2">
      <c r="B123" s="102">
        <v>34</v>
      </c>
      <c r="C123" s="270">
        <v>1.1000000000000001</v>
      </c>
    </row>
    <row r="124" spans="2:3" ht="24" customHeight="1" x14ac:dyDescent="0.2">
      <c r="B124" s="102">
        <v>35</v>
      </c>
      <c r="C124" s="270">
        <v>1.2</v>
      </c>
    </row>
    <row r="125" spans="2:3" ht="24" customHeight="1" x14ac:dyDescent="0.2">
      <c r="B125" s="102">
        <v>36</v>
      </c>
      <c r="C125" s="270">
        <v>1.2</v>
      </c>
    </row>
    <row r="126" spans="2:3" ht="24" customHeight="1" x14ac:dyDescent="0.2">
      <c r="B126" s="102">
        <v>37</v>
      </c>
      <c r="C126" s="270">
        <v>1.2</v>
      </c>
    </row>
    <row r="127" spans="2:3" ht="24" customHeight="1" x14ac:dyDescent="0.2">
      <c r="B127" s="102">
        <v>38</v>
      </c>
      <c r="C127" s="270">
        <v>1.2</v>
      </c>
    </row>
    <row r="128" spans="2:3" ht="24" customHeight="1" x14ac:dyDescent="0.2">
      <c r="B128" s="102">
        <v>39</v>
      </c>
      <c r="C128" s="270">
        <v>1.3</v>
      </c>
    </row>
    <row r="129" spans="2:3" ht="24" customHeight="1" x14ac:dyDescent="0.2">
      <c r="B129" s="102">
        <v>40</v>
      </c>
      <c r="C129" s="270">
        <v>1.3</v>
      </c>
    </row>
    <row r="130" spans="2:3" ht="24" customHeight="1" x14ac:dyDescent="0.2">
      <c r="B130" s="102">
        <v>41</v>
      </c>
      <c r="C130" s="270">
        <v>1.3</v>
      </c>
    </row>
    <row r="131" spans="2:3" ht="24" customHeight="1" x14ac:dyDescent="0.2">
      <c r="B131" s="102">
        <v>42</v>
      </c>
      <c r="C131" s="270">
        <v>1.3</v>
      </c>
    </row>
    <row r="132" spans="2:3" ht="24" customHeight="1" x14ac:dyDescent="0.2">
      <c r="B132" s="102">
        <v>43</v>
      </c>
      <c r="C132" s="270">
        <v>1.3</v>
      </c>
    </row>
    <row r="133" spans="2:3" ht="24" customHeight="1" x14ac:dyDescent="0.2">
      <c r="B133" s="102">
        <v>44</v>
      </c>
      <c r="C133" s="270">
        <v>1.3</v>
      </c>
    </row>
    <row r="134" spans="2:3" ht="24" customHeight="1" x14ac:dyDescent="0.2">
      <c r="B134" s="102">
        <v>45</v>
      </c>
      <c r="C134" s="270">
        <v>1.4</v>
      </c>
    </row>
    <row r="135" spans="2:3" ht="24" customHeight="1" x14ac:dyDescent="0.2">
      <c r="B135" s="102">
        <v>46</v>
      </c>
      <c r="C135" s="270">
        <v>1.4</v>
      </c>
    </row>
    <row r="136" spans="2:3" ht="24" customHeight="1" x14ac:dyDescent="0.2">
      <c r="B136" s="102">
        <v>47</v>
      </c>
      <c r="C136" s="270">
        <v>1.4</v>
      </c>
    </row>
    <row r="137" spans="2:3" ht="24" customHeight="1" x14ac:dyDescent="0.2">
      <c r="B137" s="102">
        <v>48</v>
      </c>
      <c r="C137" s="270">
        <v>1.4</v>
      </c>
    </row>
    <row r="138" spans="2:3" ht="24" customHeight="1" x14ac:dyDescent="0.2">
      <c r="B138" s="102">
        <v>49</v>
      </c>
      <c r="C138" s="270">
        <v>1.5</v>
      </c>
    </row>
    <row r="139" spans="2:3" ht="24" customHeight="1" x14ac:dyDescent="0.2">
      <c r="B139" s="102">
        <v>50</v>
      </c>
      <c r="C139" s="270">
        <v>1.5</v>
      </c>
    </row>
    <row r="140" spans="2:3" ht="24" customHeight="1" x14ac:dyDescent="0.2">
      <c r="B140" s="102">
        <v>51</v>
      </c>
      <c r="C140" s="270">
        <v>1.5</v>
      </c>
    </row>
    <row r="141" spans="2:3" ht="24" customHeight="1" x14ac:dyDescent="0.2">
      <c r="B141" s="102">
        <v>52</v>
      </c>
      <c r="C141" s="270">
        <v>1.5</v>
      </c>
    </row>
    <row r="142" spans="2:3" ht="24" customHeight="1" x14ac:dyDescent="0.2">
      <c r="B142" s="102">
        <v>53</v>
      </c>
      <c r="C142" s="270">
        <v>1.5</v>
      </c>
    </row>
    <row r="143" spans="2:3" ht="24" customHeight="1" x14ac:dyDescent="0.2">
      <c r="B143" s="102">
        <v>54</v>
      </c>
      <c r="C143" s="270">
        <v>1.6</v>
      </c>
    </row>
    <row r="144" spans="2:3" ht="24" customHeight="1" x14ac:dyDescent="0.2">
      <c r="B144" s="102">
        <v>55</v>
      </c>
      <c r="C144" s="270">
        <v>1.6</v>
      </c>
    </row>
    <row r="145" spans="2:3" ht="24" customHeight="1" x14ac:dyDescent="0.2">
      <c r="B145" s="102">
        <v>56</v>
      </c>
      <c r="C145" s="270">
        <v>1.6</v>
      </c>
    </row>
    <row r="146" spans="2:3" ht="24" customHeight="1" x14ac:dyDescent="0.2">
      <c r="B146" s="102">
        <v>57</v>
      </c>
      <c r="C146" s="270">
        <v>1.6</v>
      </c>
    </row>
    <row r="147" spans="2:3" ht="24" customHeight="1" x14ac:dyDescent="0.2">
      <c r="B147" s="102">
        <v>58</v>
      </c>
      <c r="C147" s="270">
        <v>1.6</v>
      </c>
    </row>
    <row r="148" spans="2:3" ht="24" customHeight="1" x14ac:dyDescent="0.2">
      <c r="B148" s="102">
        <v>59</v>
      </c>
      <c r="C148" s="270">
        <v>1.7</v>
      </c>
    </row>
    <row r="149" spans="2:3" ht="24" customHeight="1" x14ac:dyDescent="0.2">
      <c r="B149" s="102">
        <v>60</v>
      </c>
      <c r="C149" s="270">
        <v>1.7</v>
      </c>
    </row>
    <row r="150" spans="2:3" ht="24" customHeight="1" x14ac:dyDescent="0.2">
      <c r="B150" s="102">
        <v>61</v>
      </c>
      <c r="C150" s="270">
        <v>1.7</v>
      </c>
    </row>
    <row r="151" spans="2:3" ht="24" customHeight="1" x14ac:dyDescent="0.2">
      <c r="B151" s="102">
        <v>62</v>
      </c>
      <c r="C151" s="270">
        <v>1.7</v>
      </c>
    </row>
    <row r="152" spans="2:3" ht="24" customHeight="1" x14ac:dyDescent="0.2">
      <c r="B152" s="102">
        <v>63</v>
      </c>
      <c r="C152" s="270">
        <v>1.7</v>
      </c>
    </row>
    <row r="153" spans="2:3" ht="24" customHeight="1" x14ac:dyDescent="0.2">
      <c r="B153" s="102">
        <v>64</v>
      </c>
      <c r="C153" s="270">
        <v>1.7</v>
      </c>
    </row>
    <row r="154" spans="2:3" ht="24" customHeight="1" x14ac:dyDescent="0.2">
      <c r="B154" s="102">
        <v>65</v>
      </c>
      <c r="C154" s="270">
        <v>1.8</v>
      </c>
    </row>
    <row r="155" spans="2:3" ht="24" customHeight="1" x14ac:dyDescent="0.2">
      <c r="B155" s="102">
        <v>66</v>
      </c>
      <c r="C155" s="270">
        <v>1.8</v>
      </c>
    </row>
    <row r="156" spans="2:3" ht="24" customHeight="1" x14ac:dyDescent="0.2">
      <c r="B156" s="102">
        <v>67</v>
      </c>
      <c r="C156" s="270">
        <v>1.8</v>
      </c>
    </row>
    <row r="157" spans="2:3" ht="24" customHeight="1" x14ac:dyDescent="0.2">
      <c r="B157" s="102">
        <v>68</v>
      </c>
      <c r="C157" s="270">
        <v>1.8</v>
      </c>
    </row>
    <row r="158" spans="2:3" ht="24" customHeight="1" x14ac:dyDescent="0.2">
      <c r="B158" s="102">
        <v>69</v>
      </c>
      <c r="C158" s="270">
        <v>1.8</v>
      </c>
    </row>
    <row r="159" spans="2:3" ht="24" customHeight="1" x14ac:dyDescent="0.2">
      <c r="B159" s="102">
        <v>70</v>
      </c>
      <c r="C159" s="270">
        <v>1.9</v>
      </c>
    </row>
    <row r="160" spans="2:3" ht="24" customHeight="1" x14ac:dyDescent="0.2">
      <c r="B160" s="102">
        <v>71</v>
      </c>
      <c r="C160" s="270">
        <v>1.9</v>
      </c>
    </row>
    <row r="161" spans="2:3" ht="24" customHeight="1" x14ac:dyDescent="0.2">
      <c r="B161" s="102">
        <v>72</v>
      </c>
      <c r="C161" s="270">
        <v>1.9</v>
      </c>
    </row>
    <row r="162" spans="2:3" ht="24" customHeight="1" x14ac:dyDescent="0.2">
      <c r="B162" s="102">
        <v>73</v>
      </c>
      <c r="C162" s="270">
        <v>1.9</v>
      </c>
    </row>
    <row r="163" spans="2:3" ht="24" customHeight="1" x14ac:dyDescent="0.2">
      <c r="B163" s="102">
        <v>74</v>
      </c>
      <c r="C163" s="270">
        <v>1.9</v>
      </c>
    </row>
    <row r="164" spans="2:3" ht="24" customHeight="1" x14ac:dyDescent="0.2">
      <c r="B164" s="102">
        <v>75</v>
      </c>
      <c r="C164" s="270">
        <v>1.9</v>
      </c>
    </row>
    <row r="165" spans="2:3" ht="24" customHeight="1" x14ac:dyDescent="0.2">
      <c r="B165" s="102">
        <v>76</v>
      </c>
      <c r="C165" s="270">
        <v>2</v>
      </c>
    </row>
    <row r="166" spans="2:3" ht="24" customHeight="1" x14ac:dyDescent="0.2">
      <c r="B166" s="102">
        <v>77</v>
      </c>
      <c r="C166" s="270">
        <v>2</v>
      </c>
    </row>
    <row r="167" spans="2:3" ht="24" customHeight="1" x14ac:dyDescent="0.2">
      <c r="B167" s="102">
        <v>78</v>
      </c>
      <c r="C167" s="270">
        <v>2</v>
      </c>
    </row>
    <row r="168" spans="2:3" ht="24" customHeight="1" x14ac:dyDescent="0.2">
      <c r="B168" s="102">
        <v>79</v>
      </c>
      <c r="C168" s="270">
        <v>2</v>
      </c>
    </row>
    <row r="169" spans="2:3" ht="24" customHeight="1" x14ac:dyDescent="0.2">
      <c r="B169" s="102">
        <v>80</v>
      </c>
      <c r="C169" s="270">
        <v>2</v>
      </c>
    </row>
    <row r="170" spans="2:3" ht="24" customHeight="1" x14ac:dyDescent="0.2">
      <c r="B170" s="102">
        <v>81</v>
      </c>
      <c r="C170" s="270">
        <v>2</v>
      </c>
    </row>
    <row r="171" spans="2:3" ht="24" customHeight="1" x14ac:dyDescent="0.2">
      <c r="B171" s="102">
        <v>82</v>
      </c>
      <c r="C171" s="270">
        <v>2.1</v>
      </c>
    </row>
    <row r="172" spans="2:3" ht="24" customHeight="1" x14ac:dyDescent="0.2">
      <c r="B172" s="102">
        <v>83</v>
      </c>
      <c r="C172" s="270">
        <v>2.1</v>
      </c>
    </row>
    <row r="173" spans="2:3" ht="24" customHeight="1" x14ac:dyDescent="0.2">
      <c r="B173" s="102">
        <v>84</v>
      </c>
      <c r="C173" s="270">
        <v>2.1</v>
      </c>
    </row>
    <row r="174" spans="2:3" ht="24" customHeight="1" x14ac:dyDescent="0.2">
      <c r="B174" s="102">
        <v>85</v>
      </c>
      <c r="C174" s="270">
        <v>2.1</v>
      </c>
    </row>
    <row r="175" spans="2:3" ht="24" customHeight="1" x14ac:dyDescent="0.2">
      <c r="B175" s="102">
        <v>86</v>
      </c>
      <c r="C175" s="270">
        <v>2.1</v>
      </c>
    </row>
    <row r="176" spans="2:3" ht="24" customHeight="1" x14ac:dyDescent="0.2">
      <c r="B176" s="102">
        <v>87</v>
      </c>
      <c r="C176" s="270">
        <v>2.1</v>
      </c>
    </row>
    <row r="177" spans="2:3" ht="24" customHeight="1" x14ac:dyDescent="0.2">
      <c r="B177" s="102">
        <v>88</v>
      </c>
      <c r="C177" s="270">
        <v>2.2000000000000002</v>
      </c>
    </row>
    <row r="178" spans="2:3" ht="24" customHeight="1" x14ac:dyDescent="0.2">
      <c r="B178" s="102">
        <v>89</v>
      </c>
      <c r="C178" s="270">
        <v>2.2000000000000002</v>
      </c>
    </row>
    <row r="179" spans="2:3" ht="24" customHeight="1" x14ac:dyDescent="0.2">
      <c r="B179" s="102">
        <v>90</v>
      </c>
      <c r="C179" s="270">
        <v>2.2000000000000002</v>
      </c>
    </row>
    <row r="180" spans="2:3" ht="24" customHeight="1" x14ac:dyDescent="0.2">
      <c r="B180" s="102">
        <v>91</v>
      </c>
      <c r="C180" s="270">
        <v>2.2000000000000002</v>
      </c>
    </row>
    <row r="181" spans="2:3" ht="24" customHeight="1" x14ac:dyDescent="0.2">
      <c r="B181" s="102">
        <v>92</v>
      </c>
      <c r="C181" s="270">
        <v>2.2000000000000002</v>
      </c>
    </row>
    <row r="182" spans="2:3" ht="24" customHeight="1" x14ac:dyDescent="0.2">
      <c r="B182" s="102">
        <v>93</v>
      </c>
      <c r="C182" s="270">
        <v>2.2000000000000002</v>
      </c>
    </row>
    <row r="183" spans="2:3" ht="24" customHeight="1" x14ac:dyDescent="0.2">
      <c r="B183" s="102">
        <v>94</v>
      </c>
      <c r="C183" s="270">
        <v>2.2000000000000002</v>
      </c>
    </row>
    <row r="184" spans="2:3" ht="24" customHeight="1" x14ac:dyDescent="0.2">
      <c r="B184" s="102">
        <v>95</v>
      </c>
      <c r="C184" s="270">
        <v>2.2000000000000002</v>
      </c>
    </row>
    <row r="185" spans="2:3" ht="24" customHeight="1" x14ac:dyDescent="0.2">
      <c r="B185" s="102">
        <v>96</v>
      </c>
      <c r="C185" s="270">
        <v>2.2000000000000002</v>
      </c>
    </row>
    <row r="186" spans="2:3" ht="24" customHeight="1" x14ac:dyDescent="0.2">
      <c r="B186" s="102">
        <v>97</v>
      </c>
      <c r="C186" s="270">
        <v>2.2000000000000002</v>
      </c>
    </row>
    <row r="187" spans="2:3" ht="24" customHeight="1" x14ac:dyDescent="0.2">
      <c r="B187" s="102">
        <v>98</v>
      </c>
      <c r="C187" s="270">
        <v>2.2000000000000002</v>
      </c>
    </row>
    <row r="188" spans="2:3" ht="24" customHeight="1" x14ac:dyDescent="0.2">
      <c r="B188" s="102">
        <v>99</v>
      </c>
      <c r="C188" s="270">
        <v>2.2000000000000002</v>
      </c>
    </row>
    <row r="189" spans="2:3" ht="24" customHeight="1" x14ac:dyDescent="0.2">
      <c r="B189" s="102">
        <v>100</v>
      </c>
      <c r="C189" s="270">
        <v>2.2000000000000002</v>
      </c>
    </row>
    <row r="190" spans="2:3" ht="24" customHeight="1" x14ac:dyDescent="0.2">
      <c r="B190" s="299"/>
      <c r="C190" s="300"/>
    </row>
    <row r="191" spans="2:3" ht="24" customHeight="1" x14ac:dyDescent="0.2">
      <c r="B191" s="933" t="s">
        <v>399</v>
      </c>
      <c r="C191" s="934"/>
    </row>
    <row r="192" spans="2:3" ht="24" customHeight="1" x14ac:dyDescent="0.2">
      <c r="B192" s="102">
        <f>$C$79</f>
        <v>3.5</v>
      </c>
      <c r="C192" s="102">
        <f>IF(VLOOKUP(B192,BSATable,2,FALSE)="Not supported","Not supported",IF(VLOOKUP(B192,BSATable,2,FALSE)&lt;1,ROUND(VLOOKUP(B192,BSATable,2,FALSE),2),ROUND(VLOOKUP(B192,BSATable,2,FALSE),1)))</f>
        <v>0.24</v>
      </c>
    </row>
    <row r="193" spans="2:7" ht="24" customHeight="1" x14ac:dyDescent="0.2">
      <c r="B193" s="301"/>
      <c r="C193" s="302"/>
    </row>
    <row r="194" spans="2:7" ht="24" customHeight="1" x14ac:dyDescent="0.35">
      <c r="B194" s="315" t="s">
        <v>407</v>
      </c>
    </row>
    <row r="195" spans="2:7" ht="24" customHeight="1" x14ac:dyDescent="0.2"/>
    <row r="196" spans="2:7" ht="24" customHeight="1" x14ac:dyDescent="0.2">
      <c r="B196" s="297" t="s">
        <v>412</v>
      </c>
      <c r="C196" s="102">
        <f>$C$192</f>
        <v>0.24</v>
      </c>
    </row>
    <row r="197" spans="2:7" ht="24" customHeight="1" x14ac:dyDescent="0.2"/>
    <row r="198" spans="2:7" ht="24" customHeight="1" x14ac:dyDescent="0.2">
      <c r="B198" s="221"/>
      <c r="C198" s="221" t="s">
        <v>188</v>
      </c>
      <c r="D198" s="221" t="s">
        <v>41</v>
      </c>
      <c r="E198" s="221" t="s">
        <v>408</v>
      </c>
      <c r="F198" s="221" t="s">
        <v>12</v>
      </c>
      <c r="G198" s="221" t="s">
        <v>413</v>
      </c>
    </row>
    <row r="199" spans="2:7" ht="24" customHeight="1" x14ac:dyDescent="0.2">
      <c r="B199" s="268" t="s">
        <v>409</v>
      </c>
      <c r="C199" s="268" t="str">
        <f>IF(AND('Weight Estimations'!$C$4=0,'Weight Estimations'!$C$3=0,'Weight Estimations'!C5=0),"No",IF('Weight Estimations'!$C$4=0,IF('Weight Estimations'!$C$3&lt;3,"Yes","No"),"No"))</f>
        <v>No</v>
      </c>
      <c r="D199" s="268" t="s">
        <v>410</v>
      </c>
      <c r="E199" s="282">
        <f>MROUND(($C$2*20),5)</f>
        <v>70</v>
      </c>
      <c r="F199" s="102">
        <v>750</v>
      </c>
      <c r="G199" s="102">
        <f>IF($E$199&gt;$F$199,$F$199,$E$199)</f>
        <v>70</v>
      </c>
    </row>
    <row r="200" spans="2:7" ht="24" customHeight="1" x14ac:dyDescent="0.2">
      <c r="B200" s="268" t="s">
        <v>560</v>
      </c>
      <c r="C200" s="268" t="str">
        <f>IF(AND('Weight Estimations'!$C$4=0,'Weight Estimations'!$C$3=0),"No",IF(OR(AND('Weight Estimations'!C4&gt;=1,'Weight Estimations'!C4&lt;12),AND('Weight Estimations'!C4=0,'Weight Estimations'!C3&gt;=3)),"Yes","No"))</f>
        <v>No</v>
      </c>
      <c r="D200" s="268" t="s">
        <v>417</v>
      </c>
      <c r="E200" s="282">
        <f>MROUND((500*$C$196),5)</f>
        <v>120</v>
      </c>
      <c r="F200" s="268"/>
      <c r="G200" s="102">
        <f>IF($E$200&gt;$F$199,$F$199,$E$200)</f>
        <v>120</v>
      </c>
    </row>
    <row r="201" spans="2:7" ht="24" customHeight="1" x14ac:dyDescent="0.2">
      <c r="B201" s="268" t="s">
        <v>416</v>
      </c>
      <c r="C201" s="268" t="str">
        <f>IF(AND('Weight Estimations'!$C$4=0,'Weight Estimations'!$C$3=0),"No",IF('Weight Estimations'!$C$4&gt;=12,"Yes","No"))</f>
        <v>No</v>
      </c>
      <c r="D201" s="268" t="s">
        <v>411</v>
      </c>
      <c r="E201" s="282">
        <f>MROUND(($C$2*10),5)</f>
        <v>35</v>
      </c>
      <c r="F201" s="268"/>
      <c r="G201" s="102">
        <f>IF($E$201&gt;$F$199,$F$199,$E$201)</f>
        <v>35</v>
      </c>
    </row>
    <row r="202" spans="2:7" ht="24" customHeight="1" x14ac:dyDescent="0.2">
      <c r="B202" s="408"/>
      <c r="C202" s="408"/>
      <c r="D202" s="408"/>
      <c r="E202" s="408"/>
      <c r="F202" s="408"/>
      <c r="G202" s="408"/>
    </row>
    <row r="203" spans="2:7" ht="24" customHeight="1" x14ac:dyDescent="0.2"/>
    <row r="204" spans="2:7" ht="24" customHeight="1" x14ac:dyDescent="0.2"/>
    <row r="205" spans="2:7" ht="24" customHeight="1" x14ac:dyDescent="0.2">
      <c r="B205" s="422" t="s">
        <v>486</v>
      </c>
    </row>
    <row r="206" spans="2:7" ht="24" customHeight="1" x14ac:dyDescent="0.2"/>
    <row r="207" spans="2:7" ht="24" customHeight="1" x14ac:dyDescent="0.2">
      <c r="B207" s="419" t="s">
        <v>307</v>
      </c>
      <c r="C207" s="102" t="str">
        <f>$C$3</f>
        <v>Neonate</v>
      </c>
      <c r="D207" s="55" t="s">
        <v>487</v>
      </c>
    </row>
    <row r="208" spans="2:7" ht="24" customHeight="1" x14ac:dyDescent="0.2"/>
    <row r="209" spans="2:7" ht="24" customHeight="1" x14ac:dyDescent="0.2">
      <c r="B209" s="418" t="s">
        <v>39</v>
      </c>
      <c r="C209" s="418" t="s">
        <v>188</v>
      </c>
      <c r="D209" s="418" t="s">
        <v>489</v>
      </c>
      <c r="E209" s="418" t="s">
        <v>490</v>
      </c>
      <c r="F209" s="418" t="s">
        <v>488</v>
      </c>
      <c r="G209" s="418" t="s">
        <v>505</v>
      </c>
    </row>
    <row r="210" spans="2:7" ht="24" customHeight="1" x14ac:dyDescent="0.2">
      <c r="B210" s="271" t="s">
        <v>319</v>
      </c>
      <c r="C210" s="102" t="str">
        <f>IF(C207="Prem","Yes","No")</f>
        <v>No</v>
      </c>
      <c r="D210" s="102" t="s">
        <v>318</v>
      </c>
      <c r="E210" s="102" t="s">
        <v>318</v>
      </c>
      <c r="F210" s="102" t="s">
        <v>318</v>
      </c>
      <c r="G210" s="271" t="s">
        <v>511</v>
      </c>
    </row>
    <row r="211" spans="2:7" ht="24" customHeight="1" x14ac:dyDescent="0.2">
      <c r="B211" s="271" t="s">
        <v>305</v>
      </c>
      <c r="C211" s="102" t="str">
        <f>IF(C207="Neonate","Yes","No")</f>
        <v>Yes</v>
      </c>
      <c r="D211" s="102" t="s">
        <v>492</v>
      </c>
      <c r="E211" s="102" t="s">
        <v>496</v>
      </c>
      <c r="F211" s="102" t="s">
        <v>506</v>
      </c>
      <c r="G211" s="271" t="s">
        <v>678</v>
      </c>
    </row>
    <row r="212" spans="2:7" ht="24" customHeight="1" x14ac:dyDescent="0.2">
      <c r="B212" s="271" t="s">
        <v>306</v>
      </c>
      <c r="C212" s="102" t="str">
        <f>IF(C207="6 Months","Yes","No")</f>
        <v>No</v>
      </c>
      <c r="D212" s="102" t="s">
        <v>492</v>
      </c>
      <c r="E212" s="102" t="s">
        <v>496</v>
      </c>
      <c r="F212" s="102" t="s">
        <v>506</v>
      </c>
      <c r="G212" s="271" t="s">
        <v>678</v>
      </c>
    </row>
    <row r="213" spans="2:7" ht="24" customHeight="1" x14ac:dyDescent="0.2">
      <c r="B213" s="271" t="s">
        <v>491</v>
      </c>
      <c r="C213" s="102" t="str">
        <f>IF(C207&lt;1,"Yes","No")</f>
        <v>No</v>
      </c>
      <c r="D213" s="102" t="s">
        <v>492</v>
      </c>
      <c r="E213" s="102" t="s">
        <v>496</v>
      </c>
      <c r="F213" s="102" t="s">
        <v>506</v>
      </c>
      <c r="G213" s="268" t="s">
        <v>678</v>
      </c>
    </row>
    <row r="214" spans="2:7" ht="24" customHeight="1" x14ac:dyDescent="0.2">
      <c r="B214" s="271" t="s">
        <v>501</v>
      </c>
      <c r="C214" s="102" t="str">
        <f>IF(AND(C207&gt;=1,C207&lt;5),"Yes","No")</f>
        <v>No</v>
      </c>
      <c r="D214" s="102" t="s">
        <v>493</v>
      </c>
      <c r="E214" s="102" t="s">
        <v>497</v>
      </c>
      <c r="F214" s="102" t="s">
        <v>507</v>
      </c>
      <c r="G214" s="268" t="s">
        <v>676</v>
      </c>
    </row>
    <row r="215" spans="2:7" ht="24" customHeight="1" x14ac:dyDescent="0.2">
      <c r="B215" s="271" t="s">
        <v>500</v>
      </c>
      <c r="C215" s="102" t="str">
        <f>IF(AND(C207&gt;=5,C207&lt;12),"Yes","No")</f>
        <v>No</v>
      </c>
      <c r="D215" s="102" t="s">
        <v>494</v>
      </c>
      <c r="E215" s="102" t="s">
        <v>498</v>
      </c>
      <c r="F215" s="102" t="s">
        <v>508</v>
      </c>
      <c r="G215" s="268" t="s">
        <v>677</v>
      </c>
    </row>
    <row r="216" spans="2:7" ht="24" customHeight="1" x14ac:dyDescent="0.2">
      <c r="B216" s="271" t="s">
        <v>416</v>
      </c>
      <c r="C216" s="102" t="str">
        <f>IF(AND((ISTEXT(C207)=FALSE),C207&gt;=12),"Yes","No")</f>
        <v>No</v>
      </c>
      <c r="D216" s="102" t="s">
        <v>495</v>
      </c>
      <c r="E216" s="102" t="s">
        <v>499</v>
      </c>
      <c r="F216" s="102" t="s">
        <v>509</v>
      </c>
      <c r="G216" s="268" t="s">
        <v>510</v>
      </c>
    </row>
    <row r="217" spans="2:7" ht="24" customHeight="1" x14ac:dyDescent="0.2"/>
    <row r="218" spans="2:7" ht="24" customHeight="1" x14ac:dyDescent="0.2"/>
    <row r="219" spans="2:7" ht="24" customHeight="1" x14ac:dyDescent="0.2"/>
    <row r="220" spans="2:7" ht="24" customHeight="1" x14ac:dyDescent="0.35">
      <c r="B220" s="287" t="s">
        <v>564</v>
      </c>
    </row>
    <row r="221" spans="2:7" ht="24" customHeight="1" x14ac:dyDescent="0.2"/>
    <row r="222" spans="2:7" ht="24" customHeight="1" x14ac:dyDescent="0.2">
      <c r="B222" s="442" t="s">
        <v>170</v>
      </c>
      <c r="C222" s="442" t="s">
        <v>188</v>
      </c>
      <c r="D222" s="442" t="s">
        <v>565</v>
      </c>
      <c r="E222" s="442"/>
    </row>
    <row r="223" spans="2:7" ht="24" customHeight="1" x14ac:dyDescent="0.2">
      <c r="B223" s="102" t="s">
        <v>566</v>
      </c>
      <c r="C223" s="102" t="str">
        <f>IF(C2&lt;=3.8,"Yes","No")</f>
        <v>Yes</v>
      </c>
      <c r="D223" s="102" t="s">
        <v>581</v>
      </c>
      <c r="E223" s="102"/>
    </row>
    <row r="224" spans="2:7" ht="24" customHeight="1" x14ac:dyDescent="0.2">
      <c r="B224" s="102" t="s">
        <v>567</v>
      </c>
      <c r="C224" s="102" t="str">
        <f>IF(AND(C2&gt;3.8,C2&lt;=10),"Yes","No")</f>
        <v>No</v>
      </c>
      <c r="D224" s="102" t="s">
        <v>580</v>
      </c>
      <c r="E224" s="102"/>
    </row>
    <row r="225" spans="2:5" ht="24" customHeight="1" x14ac:dyDescent="0.2">
      <c r="B225" s="102" t="s">
        <v>568</v>
      </c>
      <c r="C225" s="102" t="str">
        <f>IF(AND(C2&gt;10,C2&lt;=28),"Yes","No")</f>
        <v>No</v>
      </c>
      <c r="D225" s="102" t="s">
        <v>587</v>
      </c>
      <c r="E225" s="102"/>
    </row>
    <row r="226" spans="2:5" ht="24" customHeight="1" x14ac:dyDescent="0.2">
      <c r="B226" s="102" t="s">
        <v>569</v>
      </c>
      <c r="C226" s="102" t="str">
        <f>IF(AND(C2&gt;28,C2&lt;=40),"Yes","No")</f>
        <v>No</v>
      </c>
      <c r="D226" s="102" t="s">
        <v>571</v>
      </c>
      <c r="E226" s="102"/>
    </row>
    <row r="227" spans="2:5" ht="24" customHeight="1" x14ac:dyDescent="0.2">
      <c r="B227" s="102" t="s">
        <v>570</v>
      </c>
      <c r="C227" s="102" t="str">
        <f>IF(C2&gt;40,"Yes","No")</f>
        <v>No</v>
      </c>
      <c r="D227" s="102" t="s">
        <v>588</v>
      </c>
      <c r="E227" s="102"/>
    </row>
    <row r="228" spans="2:5" ht="24" customHeight="1" x14ac:dyDescent="0.2"/>
    <row r="229" spans="2:5" ht="24" customHeight="1" x14ac:dyDescent="0.2"/>
    <row r="230" spans="2:5" ht="24" customHeight="1" x14ac:dyDescent="0.2"/>
    <row r="231" spans="2:5" ht="24" customHeight="1" x14ac:dyDescent="0.35">
      <c r="B231" s="287" t="s">
        <v>579</v>
      </c>
    </row>
    <row r="232" spans="2:5" ht="24" customHeight="1" x14ac:dyDescent="0.2"/>
    <row r="233" spans="2:5" ht="24" customHeight="1" x14ac:dyDescent="0.2">
      <c r="B233" s="6" t="s">
        <v>39</v>
      </c>
      <c r="C233" s="6" t="s">
        <v>188</v>
      </c>
      <c r="D233" s="6" t="s">
        <v>565</v>
      </c>
    </row>
    <row r="234" spans="2:5" ht="24" customHeight="1" x14ac:dyDescent="0.2">
      <c r="B234" s="102" t="s">
        <v>573</v>
      </c>
      <c r="C234" s="102" t="str">
        <f>IF(OR(ISTEXT(C3),C3&lt;0.5),"Yes","No")</f>
        <v>Yes</v>
      </c>
      <c r="D234" s="102" t="s">
        <v>582</v>
      </c>
    </row>
    <row r="235" spans="2:5" ht="24" customHeight="1" x14ac:dyDescent="0.2">
      <c r="B235" s="102" t="s">
        <v>574</v>
      </c>
      <c r="C235" s="102" t="str">
        <f>IF(AND(C3&gt;=0.5,C3&lt;1),"Yes","No")</f>
        <v>No</v>
      </c>
      <c r="D235" s="102" t="s">
        <v>583</v>
      </c>
    </row>
    <row r="236" spans="2:5" ht="24" customHeight="1" x14ac:dyDescent="0.2">
      <c r="B236" s="102" t="s">
        <v>575</v>
      </c>
      <c r="C236" s="102" t="str">
        <f>IF(AND(C3&gt;=1,C3&lt;2),"Yes","No")</f>
        <v>No</v>
      </c>
      <c r="D236" s="102" t="s">
        <v>584</v>
      </c>
    </row>
    <row r="237" spans="2:5" ht="24" customHeight="1" x14ac:dyDescent="0.2">
      <c r="B237" s="102" t="s">
        <v>576</v>
      </c>
      <c r="C237" s="102" t="str">
        <f>IF(AND(C3&gt;=2,C3&lt;10),"Yes","No")</f>
        <v>No</v>
      </c>
      <c r="D237" s="102" t="s">
        <v>585</v>
      </c>
    </row>
    <row r="238" spans="2:5" ht="24" customHeight="1" x14ac:dyDescent="0.2">
      <c r="B238" s="102" t="s">
        <v>577</v>
      </c>
      <c r="C238" s="102" t="str">
        <f>IF(AND(ISTEXT(C3)=FALSE,C3&gt;=10),"Yes","No")</f>
        <v>No</v>
      </c>
      <c r="D238" s="102" t="s">
        <v>586</v>
      </c>
    </row>
    <row r="239" spans="2:5" ht="24" customHeight="1" x14ac:dyDescent="0.2">
      <c r="B239" s="5"/>
      <c r="C239" s="5"/>
      <c r="D239" s="5"/>
    </row>
    <row r="240" spans="2:5" ht="24" customHeight="1" x14ac:dyDescent="0.2">
      <c r="B240" s="408"/>
      <c r="C240" s="408"/>
      <c r="D240" s="408"/>
    </row>
    <row r="241" spans="2:4" ht="24" customHeight="1" x14ac:dyDescent="0.2">
      <c r="B241" s="334"/>
      <c r="C241" s="334"/>
      <c r="D241" s="334"/>
    </row>
    <row r="242" spans="2:4" ht="24" customHeight="1" x14ac:dyDescent="0.2">
      <c r="B242" s="334"/>
      <c r="C242" s="334"/>
      <c r="D242" s="334"/>
    </row>
    <row r="243" spans="2:4" ht="24" customHeight="1" x14ac:dyDescent="0.2">
      <c r="B243" s="334"/>
      <c r="C243" s="334"/>
      <c r="D243" s="334"/>
    </row>
    <row r="244" spans="2:4" ht="24" customHeight="1" x14ac:dyDescent="0.2">
      <c r="B244" s="334"/>
      <c r="C244" s="334"/>
      <c r="D244" s="334"/>
    </row>
    <row r="245" spans="2:4" ht="24" customHeight="1" x14ac:dyDescent="0.2">
      <c r="B245" s="334"/>
      <c r="C245" s="334"/>
      <c r="D245" s="334"/>
    </row>
    <row r="246" spans="2:4" ht="24" customHeight="1" x14ac:dyDescent="0.2">
      <c r="B246" s="334"/>
      <c r="C246" s="334"/>
      <c r="D246" s="334"/>
    </row>
    <row r="247" spans="2:4" ht="24" customHeight="1" x14ac:dyDescent="0.2">
      <c r="B247" s="334"/>
      <c r="C247" s="334"/>
      <c r="D247" s="334"/>
    </row>
    <row r="248" spans="2:4" ht="24" customHeight="1" x14ac:dyDescent="0.2">
      <c r="B248" s="334"/>
      <c r="C248" s="334"/>
      <c r="D248" s="334"/>
    </row>
    <row r="249" spans="2:4" ht="24" customHeight="1" x14ac:dyDescent="0.2"/>
    <row r="250" spans="2:4" ht="24" customHeight="1" x14ac:dyDescent="0.2"/>
    <row r="251" spans="2:4" ht="24" customHeight="1" x14ac:dyDescent="0.2"/>
    <row r="252" spans="2:4" ht="24" customHeight="1" x14ac:dyDescent="0.2"/>
    <row r="253" spans="2:4" ht="24" customHeight="1" x14ac:dyDescent="0.2"/>
    <row r="254" spans="2:4" ht="24" customHeight="1" x14ac:dyDescent="0.2"/>
    <row r="255" spans="2:4" ht="24" customHeight="1" x14ac:dyDescent="0.2"/>
    <row r="256" spans="2:4" ht="24" customHeight="1" x14ac:dyDescent="0.2"/>
    <row r="257" ht="24" customHeight="1" x14ac:dyDescent="0.2"/>
    <row r="258" ht="24" customHeight="1" x14ac:dyDescent="0.2"/>
    <row r="259" ht="24" customHeight="1" x14ac:dyDescent="0.2"/>
    <row r="260" ht="24" customHeight="1" x14ac:dyDescent="0.2"/>
    <row r="261" ht="24" customHeight="1" x14ac:dyDescent="0.2"/>
    <row r="262" ht="24" customHeight="1" x14ac:dyDescent="0.2"/>
    <row r="263" ht="24" customHeight="1" x14ac:dyDescent="0.2"/>
    <row r="264" ht="24" customHeight="1" x14ac:dyDescent="0.2"/>
    <row r="265" ht="24" customHeight="1" x14ac:dyDescent="0.2"/>
    <row r="266" ht="24" customHeight="1" x14ac:dyDescent="0.2"/>
    <row r="267" ht="24" customHeight="1" x14ac:dyDescent="0.2"/>
    <row r="268" ht="24" customHeight="1" x14ac:dyDescent="0.2"/>
    <row r="269" ht="24" customHeight="1" x14ac:dyDescent="0.2"/>
    <row r="270" ht="24" customHeight="1" x14ac:dyDescent="0.2"/>
    <row r="271" ht="24" customHeight="1" x14ac:dyDescent="0.2"/>
    <row r="272" ht="24" customHeight="1" x14ac:dyDescent="0.2"/>
    <row r="273" ht="24" customHeight="1" x14ac:dyDescent="0.2"/>
    <row r="274" ht="24" customHeight="1" x14ac:dyDescent="0.2"/>
    <row r="275" ht="24" customHeight="1" x14ac:dyDescent="0.2"/>
    <row r="276" ht="24" customHeight="1" x14ac:dyDescent="0.2"/>
    <row r="277" ht="24" customHeight="1" x14ac:dyDescent="0.2"/>
    <row r="278" ht="24" customHeight="1" x14ac:dyDescent="0.2"/>
    <row r="279" ht="24" customHeight="1" x14ac:dyDescent="0.2"/>
    <row r="280" ht="24" customHeight="1" x14ac:dyDescent="0.2"/>
    <row r="281" ht="24" customHeight="1" x14ac:dyDescent="0.2"/>
    <row r="282" ht="24" customHeight="1" x14ac:dyDescent="0.2"/>
    <row r="283" ht="24" customHeight="1" x14ac:dyDescent="0.2"/>
  </sheetData>
  <sheetProtection algorithmName="SHA-512" hashValue="IgbVI+RCFqQ/jyi5CZck4s1vboIZotuJg2jtJwtB2ROOmnpuDsPDJ92W9kXduZZz3kpxhzO2zxLtE38mEU+R0w==" saltValue="jnhS96k/dmgac2ulIg6vKQ==" spinCount="100000" sheet="1" objects="1" scenarios="1" selectLockedCells="1" selectUnlockedCells="1"/>
  <mergeCells count="1">
    <mergeCell ref="B191:C191"/>
  </mergeCell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D3FE0-8625-40FD-8E84-0BF61D17ED8A}">
  <sheetPr codeName="Sheet4">
    <tabColor theme="5" tint="0.59999389629810485"/>
  </sheetPr>
  <dimension ref="B1:O78"/>
  <sheetViews>
    <sheetView workbookViewId="0"/>
  </sheetViews>
  <sheetFormatPr baseColWidth="10" defaultColWidth="9.1640625" defaultRowHeight="15" x14ac:dyDescent="0.2"/>
  <cols>
    <col min="1" max="1" width="9.1640625" style="54"/>
    <col min="2" max="2" width="32.5" style="54" customWidth="1"/>
    <col min="3" max="3" width="24.33203125" style="54" customWidth="1"/>
    <col min="4" max="4" width="32" style="54" customWidth="1"/>
    <col min="5" max="6" width="22.83203125" style="54" customWidth="1"/>
    <col min="7" max="7" width="18.33203125" style="54" customWidth="1"/>
    <col min="8" max="16384" width="9.1640625" style="54"/>
  </cols>
  <sheetData>
    <row r="1" spans="2:15" ht="55.5" customHeight="1" x14ac:dyDescent="0.35">
      <c r="B1" s="422" t="s">
        <v>516</v>
      </c>
      <c r="F1" s="425"/>
      <c r="G1" s="425"/>
    </row>
    <row r="2" spans="2:15" ht="24" customHeight="1" x14ac:dyDescent="0.2">
      <c r="B2" s="260" t="s">
        <v>47</v>
      </c>
      <c r="C2" s="102">
        <f>Front!$E$10</f>
        <v>0</v>
      </c>
      <c r="D2" s="953" t="s">
        <v>525</v>
      </c>
      <c r="E2" s="954"/>
      <c r="F2" s="55"/>
    </row>
    <row r="3" spans="2:15" ht="24" customHeight="1" x14ac:dyDescent="0.2">
      <c r="B3" s="261" t="s">
        <v>338</v>
      </c>
      <c r="C3" s="262">
        <f>ROUND(IF(Front!$G$12=0,(Front!$I$12*0.23),Front!$G$12),0)</f>
        <v>0</v>
      </c>
      <c r="D3" s="426" t="s">
        <v>58</v>
      </c>
      <c r="E3" s="263">
        <f>Front!$G$12</f>
        <v>0</v>
      </c>
      <c r="F3" s="55"/>
      <c r="G3" s="941" t="s">
        <v>61</v>
      </c>
      <c r="H3" s="942"/>
      <c r="I3" s="942"/>
      <c r="J3" s="942"/>
      <c r="K3" s="942"/>
      <c r="L3" s="942"/>
      <c r="M3" s="942"/>
      <c r="N3" s="942"/>
      <c r="O3" s="943"/>
    </row>
    <row r="4" spans="2:15" ht="24" customHeight="1" x14ac:dyDescent="0.2">
      <c r="B4" s="261" t="s">
        <v>337</v>
      </c>
      <c r="C4" s="262">
        <f>MROUND(IF(Front!$E$12=0,IF($C$3&gt;=12,($C$3/12),0),Front!$E$12),0.1)</f>
        <v>0</v>
      </c>
      <c r="D4" s="426" t="s">
        <v>40</v>
      </c>
      <c r="E4" s="263">
        <f>Front!$E$12</f>
        <v>0</v>
      </c>
      <c r="F4" s="55"/>
      <c r="G4" s="944"/>
      <c r="H4" s="945"/>
      <c r="I4" s="945"/>
      <c r="J4" s="945"/>
      <c r="K4" s="945"/>
      <c r="L4" s="945"/>
      <c r="M4" s="945"/>
      <c r="N4" s="945"/>
      <c r="O4" s="946"/>
    </row>
    <row r="5" spans="2:15" ht="24" customHeight="1" x14ac:dyDescent="0.2">
      <c r="B5" s="264" t="s">
        <v>57</v>
      </c>
      <c r="C5" s="265">
        <f>Front!$I$12</f>
        <v>0</v>
      </c>
      <c r="D5" s="426" t="s">
        <v>56</v>
      </c>
      <c r="E5" s="263">
        <f>Front!$I$12</f>
        <v>0</v>
      </c>
      <c r="F5" s="55"/>
      <c r="G5" s="944"/>
      <c r="H5" s="945"/>
      <c r="I5" s="945"/>
      <c r="J5" s="945"/>
      <c r="K5" s="945"/>
      <c r="L5" s="945"/>
      <c r="M5" s="945"/>
      <c r="N5" s="945"/>
      <c r="O5" s="946"/>
    </row>
    <row r="6" spans="2:15" ht="24" customHeight="1" x14ac:dyDescent="0.2">
      <c r="B6" s="429" t="s">
        <v>60</v>
      </c>
      <c r="C6" s="266">
        <f>IF($C$2=0,IF($C$4=0,IF($C$3&lt;1,$D$10,IF($C$3=1,$D$11,IF($C$3&lt;12,$D$12))),IF($C$4&lt;5,$D$13,IF($C$4&gt;=5,$D$14,""))),$C$2)</f>
        <v>3.5</v>
      </c>
      <c r="D6" s="430"/>
      <c r="E6" s="431"/>
      <c r="F6" s="55"/>
      <c r="G6" s="947"/>
      <c r="H6" s="948"/>
      <c r="I6" s="948"/>
      <c r="J6" s="948"/>
      <c r="K6" s="948"/>
      <c r="L6" s="948"/>
      <c r="M6" s="948"/>
      <c r="N6" s="948"/>
      <c r="O6" s="949"/>
    </row>
    <row r="7" spans="2:15" ht="24" customHeight="1" x14ac:dyDescent="0.2">
      <c r="B7" s="269" t="s">
        <v>336</v>
      </c>
      <c r="C7" s="270">
        <f>IF($C$4=0,IF($C$3&lt;1,$D$10,IF($C$3=1,$D$11,IF($C$3&lt;12,$D$12))),IF($C$4&lt;5,$D$13,IF($C$4&gt;=5,$D$14,"")))</f>
        <v>3.5</v>
      </c>
      <c r="D7" s="55"/>
      <c r="E7" s="55"/>
      <c r="F7" s="55"/>
    </row>
    <row r="8" spans="2:15" ht="24" customHeight="1" x14ac:dyDescent="0.2">
      <c r="B8" s="55"/>
      <c r="C8" s="55"/>
      <c r="D8" s="55"/>
      <c r="E8" s="55"/>
      <c r="F8" s="55"/>
    </row>
    <row r="9" spans="2:15" ht="24" customHeight="1" x14ac:dyDescent="0.2">
      <c r="B9" s="6" t="s">
        <v>39</v>
      </c>
      <c r="C9" s="6" t="s">
        <v>41</v>
      </c>
      <c r="D9" s="6" t="s">
        <v>54</v>
      </c>
      <c r="E9" s="7" t="str">
        <f>"-20%"</f>
        <v>-20%</v>
      </c>
      <c r="F9" s="6" t="str">
        <f>"+20%"</f>
        <v>+20%</v>
      </c>
    </row>
    <row r="10" spans="2:15" ht="24" customHeight="1" x14ac:dyDescent="0.2">
      <c r="B10" s="271" t="s">
        <v>49</v>
      </c>
      <c r="C10" s="102"/>
      <c r="D10" s="102">
        <v>3.5</v>
      </c>
      <c r="E10" s="102">
        <f>IFERROR(($D$10-($D$10*0.2)),"")</f>
        <v>2.8</v>
      </c>
      <c r="F10" s="102">
        <f>IFERROR(($D$10+($D$10*0.2)),"")</f>
        <v>4.2</v>
      </c>
    </row>
    <row r="11" spans="2:15" ht="24" customHeight="1" x14ac:dyDescent="0.2">
      <c r="B11" s="271" t="s">
        <v>50</v>
      </c>
      <c r="C11" s="102"/>
      <c r="D11" s="102">
        <v>4.5</v>
      </c>
      <c r="E11" s="102">
        <f>IFERROR(($D$11-($D$11*0.2)),"")</f>
        <v>3.6</v>
      </c>
      <c r="F11" s="102">
        <f>IFERROR(($D$11+($D$11*0.2)),"")</f>
        <v>5.4</v>
      </c>
    </row>
    <row r="12" spans="2:15" ht="24" customHeight="1" x14ac:dyDescent="0.2">
      <c r="B12" s="271" t="s">
        <v>59</v>
      </c>
      <c r="C12" s="268" t="s">
        <v>42</v>
      </c>
      <c r="D12" s="282">
        <f>MROUND((($C$3+9)/2),0.5)</f>
        <v>4.5</v>
      </c>
      <c r="E12" s="102">
        <f>IFERROR(($D$12-($D$12*0.2)),"")</f>
        <v>3.6</v>
      </c>
      <c r="F12" s="102">
        <f>IFERROR(($D$12+($D$12*0.2)),"")</f>
        <v>5.4</v>
      </c>
    </row>
    <row r="13" spans="2:15" ht="24" customHeight="1" x14ac:dyDescent="0.2">
      <c r="B13" s="268" t="s">
        <v>43</v>
      </c>
      <c r="C13" s="268" t="s">
        <v>44</v>
      </c>
      <c r="D13" s="282">
        <f>MROUND((($C$4+5)*2),0.5)</f>
        <v>10</v>
      </c>
      <c r="E13" s="102">
        <f>IFERROR(($D$13-($D$13*0.2)),"")</f>
        <v>8</v>
      </c>
      <c r="F13" s="102">
        <f>IFERROR(($D$13+($D$13*0.2)),"")</f>
        <v>12</v>
      </c>
    </row>
    <row r="14" spans="2:15" ht="24" customHeight="1" x14ac:dyDescent="0.2">
      <c r="B14" s="268" t="s">
        <v>45</v>
      </c>
      <c r="C14" s="268" t="s">
        <v>46</v>
      </c>
      <c r="D14" s="282">
        <f>MROUND(($C$4*4),0.5)</f>
        <v>0</v>
      </c>
      <c r="E14" s="102">
        <f>IFERROR(($D$14-($D$14*0.2)),"")</f>
        <v>0</v>
      </c>
      <c r="F14" s="102">
        <f>IFERROR(($D$14+($D$14*0.2)),"")</f>
        <v>0</v>
      </c>
    </row>
    <row r="15" spans="2:15" ht="24" customHeight="1" x14ac:dyDescent="0.2">
      <c r="B15" s="268"/>
      <c r="C15" s="268"/>
      <c r="D15" s="268"/>
      <c r="E15" s="268"/>
      <c r="F15" s="268"/>
    </row>
    <row r="16" spans="2:15" ht="24" customHeight="1" x14ac:dyDescent="0.2">
      <c r="B16" s="935" t="s">
        <v>48</v>
      </c>
      <c r="C16" s="936"/>
      <c r="D16" s="936"/>
      <c r="E16" s="936"/>
      <c r="F16" s="937"/>
    </row>
    <row r="17" spans="2:6" ht="24" customHeight="1" x14ac:dyDescent="0.2">
      <c r="B17" s="938"/>
      <c r="C17" s="939"/>
      <c r="D17" s="939"/>
      <c r="E17" s="939"/>
      <c r="F17" s="940"/>
    </row>
    <row r="18" spans="2:6" ht="24" customHeight="1" x14ac:dyDescent="0.2">
      <c r="B18" s="55"/>
      <c r="C18" s="55"/>
      <c r="D18" s="55"/>
      <c r="E18" s="55"/>
      <c r="F18" s="55"/>
    </row>
    <row r="19" spans="2:6" ht="24" customHeight="1" x14ac:dyDescent="0.2">
      <c r="B19" s="950" t="s">
        <v>130</v>
      </c>
      <c r="C19" s="951"/>
      <c r="D19" s="951"/>
      <c r="E19" s="951"/>
      <c r="F19" s="952"/>
    </row>
    <row r="20" spans="2:6" ht="24" customHeight="1" x14ac:dyDescent="0.2">
      <c r="B20" s="268" t="s">
        <v>131</v>
      </c>
      <c r="C20" s="102" t="str">
        <f>IF(AND($C$2&lt;&gt;0,OR($E$3&lt;&gt;0,$E$4&lt;&gt;0,$E$5&lt;&gt;0)),"Yes","No")</f>
        <v>No</v>
      </c>
      <c r="D20" s="268"/>
      <c r="E20" s="268"/>
      <c r="F20" s="268"/>
    </row>
    <row r="21" spans="2:6" ht="24" customHeight="1" x14ac:dyDescent="0.2">
      <c r="B21" s="268" t="s">
        <v>514</v>
      </c>
      <c r="C21" s="102">
        <f>VLOOKUP($C$7,$D$10:$F$14,2,FALSE)</f>
        <v>2.8</v>
      </c>
      <c r="D21" s="268"/>
      <c r="E21" s="268"/>
      <c r="F21" s="268"/>
    </row>
    <row r="22" spans="2:6" ht="24" customHeight="1" x14ac:dyDescent="0.2">
      <c r="B22" s="268" t="s">
        <v>515</v>
      </c>
      <c r="C22" s="102">
        <f>VLOOKUP($C$7,$D$10:$F$14,3,FALSE)</f>
        <v>4.2</v>
      </c>
      <c r="D22" s="268"/>
      <c r="E22" s="268"/>
      <c r="F22" s="268"/>
    </row>
    <row r="23" spans="2:6" ht="24" customHeight="1" x14ac:dyDescent="0.2">
      <c r="B23" s="268" t="s">
        <v>128</v>
      </c>
      <c r="C23" s="102" t="str">
        <f>IF(OR($C$2&lt;$C$21,$C$2&gt;$C$22),"Yes","No")</f>
        <v>Yes</v>
      </c>
      <c r="D23" s="268"/>
      <c r="E23" s="268"/>
      <c r="F23" s="268"/>
    </row>
    <row r="24" spans="2:6" ht="24" customHeight="1" x14ac:dyDescent="0.2">
      <c r="B24" s="268" t="s">
        <v>129</v>
      </c>
      <c r="C24" s="266" t="str">
        <f>IF(AND($C$20="Yes",$C$23="Yes"),"Yes","No")</f>
        <v>No</v>
      </c>
      <c r="D24" s="474" t="str">
        <f ca="1">IF(Backend!D2=0,"Expired","Go!")</f>
        <v>Go!</v>
      </c>
      <c r="E24" s="268"/>
      <c r="F24" s="268"/>
    </row>
    <row r="25" spans="2:6" ht="24" customHeight="1" x14ac:dyDescent="0.2">
      <c r="B25" s="424"/>
      <c r="C25" s="424"/>
      <c r="D25" s="424"/>
      <c r="E25" s="424"/>
      <c r="F25" s="424"/>
    </row>
    <row r="26" spans="2:6" ht="24" customHeight="1" x14ac:dyDescent="0.2">
      <c r="B26" s="432"/>
      <c r="C26" s="432"/>
      <c r="D26" s="432"/>
      <c r="E26" s="432"/>
      <c r="F26" s="432"/>
    </row>
    <row r="27" spans="2:6" ht="24" customHeight="1" x14ac:dyDescent="0.2">
      <c r="B27" s="432"/>
      <c r="C27" s="432"/>
      <c r="D27" s="432"/>
      <c r="E27" s="432"/>
      <c r="F27" s="432"/>
    </row>
    <row r="28" spans="2:6" s="433" customFormat="1" ht="24" customHeight="1" x14ac:dyDescent="0.2"/>
    <row r="29" spans="2:6" ht="24" customHeight="1" x14ac:dyDescent="0.2"/>
    <row r="30" spans="2:6" ht="24" customHeight="1" x14ac:dyDescent="0.2"/>
    <row r="31" spans="2:6" ht="24" customHeight="1" x14ac:dyDescent="0.2"/>
    <row r="32" spans="2:6" ht="24" customHeight="1" x14ac:dyDescent="0.35">
      <c r="B32" s="287" t="s">
        <v>513</v>
      </c>
    </row>
    <row r="33" spans="2:7" ht="24" customHeight="1" x14ac:dyDescent="0.2"/>
    <row r="34" spans="2:7" ht="24" customHeight="1" x14ac:dyDescent="0.2">
      <c r="B34" s="955" t="s">
        <v>522</v>
      </c>
      <c r="C34" s="956"/>
      <c r="D34" s="957" t="s">
        <v>521</v>
      </c>
      <c r="E34" s="958"/>
    </row>
    <row r="35" spans="2:7" ht="24" customHeight="1" x14ac:dyDescent="0.2">
      <c r="B35" s="427" t="s">
        <v>279</v>
      </c>
      <c r="C35" s="102" t="str">
        <f>IF($C$2&gt;=11,0,IF($C$2=0,"Neonate",IF($C$2&lt;=$F$39,"Prem",IF($C$2&lt;=$F$40,"Neonate",IF($C$2&lt;=$F$41,1,IF($C$2&lt;=$F$42,MROUND(((2*$C$2)-9),1),11))))))</f>
        <v>Neonate</v>
      </c>
      <c r="D35" s="260" t="s">
        <v>320</v>
      </c>
      <c r="E35" s="102" t="str">
        <f>IF(AND($E$3=0,$E$4=0,$E$5=0),$C$35,IF($E$4&lt;&gt;0,$C$3,IF($C$4=0,$C$3,0)))</f>
        <v>Neonate</v>
      </c>
    </row>
    <row r="36" spans="2:7" ht="24" customHeight="1" x14ac:dyDescent="0.2">
      <c r="B36" s="427" t="s">
        <v>280</v>
      </c>
      <c r="C36" s="102">
        <f>IF($C$2&lt;11,0,IF($C$2&lt;=$F$43,MROUND((($C$2/2)-5),1),IF($C$2&lt;=$F$44,MROUND(($C$2/4),1),15)))</f>
        <v>0</v>
      </c>
      <c r="D36" s="260" t="s">
        <v>321</v>
      </c>
      <c r="E36" s="102">
        <f>IF(AND($E$3=0,$E$4=0,$E$5=0),$C$36,$C$4)</f>
        <v>0</v>
      </c>
      <c r="F36" s="428" t="s">
        <v>520</v>
      </c>
      <c r="G36" s="102" t="str">
        <f>IF(OR($E$35="Neonate",$E$35="Prem"),$E$35,ROUND($E$36+($E$35/12),1))</f>
        <v>Neonate</v>
      </c>
    </row>
    <row r="37" spans="2:7" ht="24" customHeight="1" x14ac:dyDescent="0.2"/>
    <row r="38" spans="2:7" ht="24" customHeight="1" x14ac:dyDescent="0.2">
      <c r="B38" s="6" t="s">
        <v>39</v>
      </c>
      <c r="C38" s="6"/>
      <c r="D38" s="6" t="s">
        <v>517</v>
      </c>
      <c r="E38" s="6" t="s">
        <v>274</v>
      </c>
      <c r="F38" s="6" t="s">
        <v>275</v>
      </c>
    </row>
    <row r="39" spans="2:7" ht="24" customHeight="1" x14ac:dyDescent="0.2">
      <c r="B39" s="268" t="s">
        <v>319</v>
      </c>
      <c r="C39" s="268"/>
      <c r="D39" s="268"/>
      <c r="E39" s="102">
        <v>2.5</v>
      </c>
      <c r="F39" s="102">
        <v>3.4</v>
      </c>
    </row>
    <row r="40" spans="2:7" ht="24" customHeight="1" x14ac:dyDescent="0.2">
      <c r="B40" s="268" t="s">
        <v>281</v>
      </c>
      <c r="C40" s="268"/>
      <c r="D40" s="268" t="s">
        <v>276</v>
      </c>
      <c r="E40" s="102">
        <v>3.5</v>
      </c>
      <c r="F40" s="102">
        <v>4.4000000000000004</v>
      </c>
    </row>
    <row r="41" spans="2:7" ht="24" customHeight="1" x14ac:dyDescent="0.2">
      <c r="B41" s="268" t="s">
        <v>273</v>
      </c>
      <c r="C41" s="268"/>
      <c r="D41" s="268" t="s">
        <v>276</v>
      </c>
      <c r="E41" s="102">
        <v>4.5</v>
      </c>
      <c r="F41" s="102">
        <v>5.4</v>
      </c>
    </row>
    <row r="42" spans="2:7" ht="24" customHeight="1" x14ac:dyDescent="0.2">
      <c r="B42" s="268" t="s">
        <v>59</v>
      </c>
      <c r="C42" s="268"/>
      <c r="D42" s="268" t="s">
        <v>277</v>
      </c>
      <c r="E42" s="102">
        <v>5.5</v>
      </c>
      <c r="F42" s="102">
        <v>10</v>
      </c>
    </row>
    <row r="43" spans="2:7" ht="24" customHeight="1" x14ac:dyDescent="0.2">
      <c r="B43" s="268" t="s">
        <v>43</v>
      </c>
      <c r="C43" s="268"/>
      <c r="D43" s="268" t="s">
        <v>278</v>
      </c>
      <c r="E43" s="102">
        <v>12</v>
      </c>
      <c r="F43" s="102">
        <v>20</v>
      </c>
    </row>
    <row r="44" spans="2:7" ht="24" customHeight="1" x14ac:dyDescent="0.2">
      <c r="B44" s="268" t="s">
        <v>45</v>
      </c>
      <c r="C44" s="268"/>
      <c r="D44" s="268" t="s">
        <v>724</v>
      </c>
      <c r="E44" s="102">
        <v>24</v>
      </c>
      <c r="F44" s="102">
        <v>60</v>
      </c>
    </row>
    <row r="45" spans="2:7" ht="24" customHeight="1" x14ac:dyDescent="0.2">
      <c r="B45" s="408"/>
      <c r="C45" s="408"/>
      <c r="D45" s="408"/>
      <c r="E45" s="408"/>
      <c r="F45" s="408"/>
    </row>
    <row r="46" spans="2:7" ht="24" customHeight="1" x14ac:dyDescent="0.2">
      <c r="B46" s="334"/>
      <c r="C46" s="334"/>
      <c r="D46" s="334"/>
      <c r="E46" s="334"/>
      <c r="F46" s="334"/>
    </row>
    <row r="47" spans="2:7" ht="24" customHeight="1" x14ac:dyDescent="0.2">
      <c r="B47" s="334"/>
      <c r="C47" s="334"/>
      <c r="D47" s="334"/>
      <c r="E47" s="334"/>
      <c r="F47" s="334"/>
    </row>
    <row r="48" spans="2:7" ht="24" customHeight="1" x14ac:dyDescent="0.2"/>
    <row r="49" ht="24" customHeight="1" x14ac:dyDescent="0.2"/>
    <row r="50" ht="24" customHeight="1" x14ac:dyDescent="0.2"/>
    <row r="51" ht="24" customHeight="1" x14ac:dyDescent="0.2"/>
    <row r="52" ht="24" customHeight="1" x14ac:dyDescent="0.2"/>
    <row r="53" ht="24" customHeight="1" x14ac:dyDescent="0.2"/>
    <row r="54" ht="24" customHeight="1" x14ac:dyDescent="0.2"/>
    <row r="55" ht="24" customHeight="1" x14ac:dyDescent="0.2"/>
    <row r="56" ht="24" customHeight="1" x14ac:dyDescent="0.2"/>
    <row r="57" ht="24" customHeight="1" x14ac:dyDescent="0.2"/>
    <row r="58" ht="24" customHeight="1" x14ac:dyDescent="0.2"/>
    <row r="59" ht="24" customHeight="1" x14ac:dyDescent="0.2"/>
    <row r="60" ht="24" customHeight="1" x14ac:dyDescent="0.2"/>
    <row r="61" ht="24" customHeight="1" x14ac:dyDescent="0.2"/>
    <row r="62" ht="24" customHeight="1" x14ac:dyDescent="0.2"/>
    <row r="63" ht="24" customHeight="1" x14ac:dyDescent="0.2"/>
    <row r="64" ht="24" customHeight="1" x14ac:dyDescent="0.2"/>
    <row r="65" ht="24" customHeight="1" x14ac:dyDescent="0.2"/>
    <row r="66" ht="24" customHeight="1" x14ac:dyDescent="0.2"/>
    <row r="67" ht="24" customHeight="1" x14ac:dyDescent="0.2"/>
    <row r="68" ht="24" customHeight="1" x14ac:dyDescent="0.2"/>
    <row r="69" ht="24" customHeight="1" x14ac:dyDescent="0.2"/>
    <row r="70" ht="24" customHeight="1" x14ac:dyDescent="0.2"/>
    <row r="71" ht="24" customHeight="1" x14ac:dyDescent="0.2"/>
    <row r="72" ht="24" customHeight="1" x14ac:dyDescent="0.2"/>
    <row r="73" ht="24" customHeight="1" x14ac:dyDescent="0.2"/>
    <row r="74" ht="24" customHeight="1" x14ac:dyDescent="0.2"/>
    <row r="75" ht="24" customHeight="1" x14ac:dyDescent="0.2"/>
    <row r="76" ht="24" customHeight="1" x14ac:dyDescent="0.2"/>
    <row r="77" ht="24" customHeight="1" x14ac:dyDescent="0.2"/>
    <row r="78" ht="24" customHeight="1" x14ac:dyDescent="0.2"/>
  </sheetData>
  <sheetProtection algorithmName="SHA-512" hashValue="DUb3dYmPTvME8CuBxT8tjWofcQqlXkBXOdQK/bPINT+5x2xJuNrP4WXDcEQPAvOgQf6wV4bBfvS5PHUw6NitZA==" saltValue="boARRGQkm33ooWI/PAEniQ==" spinCount="100000" sheet="1" objects="1" scenarios="1" selectLockedCells="1" selectUnlockedCells="1"/>
  <mergeCells count="6">
    <mergeCell ref="B16:F17"/>
    <mergeCell ref="G3:O6"/>
    <mergeCell ref="B19:F19"/>
    <mergeCell ref="D2:E2"/>
    <mergeCell ref="B34:C34"/>
    <mergeCell ref="D34:E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47</vt:i4>
      </vt:variant>
    </vt:vector>
  </HeadingPairs>
  <TitlesOfParts>
    <vt:vector size="51" baseType="lpstr">
      <vt:lpstr>Terms of use</vt:lpstr>
      <vt:lpstr>Front</vt:lpstr>
      <vt:lpstr>Resus Sheet</vt:lpstr>
      <vt:lpstr>Admin</vt:lpstr>
      <vt:lpstr>BSATable</vt:lpstr>
      <vt:lpstr>ConfigDefault</vt:lpstr>
      <vt:lpstr>ConfigDept</vt:lpstr>
      <vt:lpstr>ConfigList</vt:lpstr>
      <vt:lpstr>ConfigMatch</vt:lpstr>
      <vt:lpstr>DoseHigh</vt:lpstr>
      <vt:lpstr>DoseLow</vt:lpstr>
      <vt:lpstr>DropList</vt:lpstr>
      <vt:lpstr>DrugAciclovir</vt:lpstr>
      <vt:lpstr>DrugName</vt:lpstr>
      <vt:lpstr>ETTTable</vt:lpstr>
      <vt:lpstr>FluidTable</vt:lpstr>
      <vt:lpstr>GlidescopeSize</vt:lpstr>
      <vt:lpstr>Headings</vt:lpstr>
      <vt:lpstr>InfAdrenalineHigh</vt:lpstr>
      <vt:lpstr>InfAdrenalineLow</vt:lpstr>
      <vt:lpstr>InfAminophylline</vt:lpstr>
      <vt:lpstr>InfAmiodarone</vt:lpstr>
      <vt:lpstr>InfClonidine</vt:lpstr>
      <vt:lpstr>InfDopamine</vt:lpstr>
      <vt:lpstr>InfFrusemide</vt:lpstr>
      <vt:lpstr>InfGTNSNP</vt:lpstr>
      <vt:lpstr>InfHeparin</vt:lpstr>
      <vt:lpstr>InfHeparinFull</vt:lpstr>
      <vt:lpstr>InfIsoprenaline</vt:lpstr>
      <vt:lpstr>InfMetaraminol</vt:lpstr>
      <vt:lpstr>InfMidazolam</vt:lpstr>
      <vt:lpstr>InfMilrinone</vt:lpstr>
      <vt:lpstr>InfMorphine</vt:lpstr>
      <vt:lpstr>InfProstaglandin</vt:lpstr>
      <vt:lpstr>InfSalbutamol</vt:lpstr>
      <vt:lpstr>InfusionsList</vt:lpstr>
      <vt:lpstr>InfVasopressin</vt:lpstr>
      <vt:lpstr>InotropeTable</vt:lpstr>
      <vt:lpstr>LaryngoscopeSize</vt:lpstr>
      <vt:lpstr>LMAAirQ</vt:lpstr>
      <vt:lpstr>LMAAirQ3</vt:lpstr>
      <vt:lpstr>LMAClassic</vt:lpstr>
      <vt:lpstr>LMAIGel</vt:lpstr>
      <vt:lpstr>NotesBottom</vt:lpstr>
      <vt:lpstr>NotesTop</vt:lpstr>
      <vt:lpstr>NZPEWS</vt:lpstr>
      <vt:lpstr>PinHex</vt:lpstr>
      <vt:lpstr>Admin!Print_Area</vt:lpstr>
      <vt:lpstr>'Resus Sheet'!Print_Area</vt:lpstr>
      <vt:lpstr>Subtext</vt:lpstr>
      <vt:lpstr>WholeTable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2025-05-08T07:08:01Z</cp:lastPrinted>
  <dcterms:created xsi:type="dcterms:W3CDTF">2015-06-05T18:17:20Z</dcterms:created>
  <dcterms:modified xsi:type="dcterms:W3CDTF">2025-08-31T04:23:17Z</dcterms:modified>
</cp:coreProperties>
</file>